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941"/>
  </bookViews>
  <sheets>
    <sheet name="Portada" sheetId="1" r:id="rId1"/>
    <sheet name="Grupo A" sheetId="3" r:id="rId2"/>
    <sheet name="Grupo B" sheetId="4" r:id="rId3"/>
    <sheet name="Grupo C" sheetId="5" r:id="rId4"/>
    <sheet name="Grupo D" sheetId="6" r:id="rId5"/>
    <sheet name="Grupo E" sheetId="7" r:id="rId6"/>
    <sheet name="Grupo F" sheetId="8" r:id="rId7"/>
    <sheet name="Grupo G" sheetId="9" r:id="rId8"/>
    <sheet name="Grupo H" sheetId="10" r:id="rId9"/>
    <sheet name="Octavos de Final" sheetId="11" r:id="rId10"/>
    <sheet name="Cuartos de Final" sheetId="12" r:id="rId11"/>
    <sheet name="Semifinal" sheetId="13" r:id="rId12"/>
    <sheet name="3er puesto y FINAL" sheetId="14" r:id="rId13"/>
    <sheet name="Fixture" sheetId="15" r:id="rId14"/>
    <sheet name="calculoH" sheetId="16" state="hidden" r:id="rId15"/>
    <sheet name="calculoG" sheetId="17" state="hidden" r:id="rId16"/>
    <sheet name="calculoF" sheetId="18" state="hidden" r:id="rId17"/>
    <sheet name="calculoE" sheetId="19" state="hidden" r:id="rId18"/>
    <sheet name="calculoD" sheetId="20" state="hidden" r:id="rId19"/>
    <sheet name="calculoC" sheetId="21" state="hidden" r:id="rId20"/>
    <sheet name="calculoA" sheetId="22" state="hidden" r:id="rId21"/>
    <sheet name="calculoB" sheetId="23" state="hidden" r:id="rId22"/>
  </sheets>
  <definedNames>
    <definedName name="Final">"$#REF!.$AO$1:$AP$7"</definedName>
    <definedName name="FirstRound">"$#REF!.$D$1:$H$66"</definedName>
    <definedName name="Groups">"$#REF!.$C$1:$C$48"</definedName>
    <definedName name="Playoff">"$#REF!.$AG$1:$AN$3"</definedName>
    <definedName name="QuarterFinals">"$#REF!.$Q$1:$X$8"</definedName>
    <definedName name="SecondRound">"$#REF!.$I$1:$P$16"</definedName>
    <definedName name="SemiFinals">"$#REF!.$Y$1:$AF$6"</definedName>
  </definedNames>
  <calcPr calcId="145621"/>
</workbook>
</file>

<file path=xl/calcChain.xml><?xml version="1.0" encoding="utf-8"?>
<calcChain xmlns="http://schemas.openxmlformats.org/spreadsheetml/2006/main">
  <c r="L4" i="14" l="1"/>
  <c r="M4" i="14"/>
  <c r="E9" i="14"/>
  <c r="A9" i="14" s="1"/>
  <c r="J9" i="14"/>
  <c r="E16" i="14"/>
  <c r="A16" i="14" s="1"/>
  <c r="J16" i="14"/>
  <c r="I17" i="14"/>
  <c r="R27" i="14"/>
  <c r="S27" i="14"/>
  <c r="S28" i="14"/>
  <c r="G2" i="22"/>
  <c r="N2" i="22"/>
  <c r="U2" i="22"/>
  <c r="AB2" i="22"/>
  <c r="B4" i="22"/>
  <c r="C4" i="22"/>
  <c r="D4" i="22"/>
  <c r="F4" i="22"/>
  <c r="K4" i="22"/>
  <c r="L4" i="22"/>
  <c r="R4" i="22"/>
  <c r="S4" i="22"/>
  <c r="Y4" i="22"/>
  <c r="Z4" i="22"/>
  <c r="AF4" i="22"/>
  <c r="AG4" i="22"/>
  <c r="B5" i="22"/>
  <c r="C5" i="22"/>
  <c r="D5" i="22"/>
  <c r="F5" i="22"/>
  <c r="K5" i="22"/>
  <c r="L5" i="22"/>
  <c r="R5" i="22"/>
  <c r="S5" i="22"/>
  <c r="Y5" i="22"/>
  <c r="Z5" i="22"/>
  <c r="AF5" i="22"/>
  <c r="AG5" i="22"/>
  <c r="B6" i="22"/>
  <c r="C6" i="22"/>
  <c r="D6" i="22"/>
  <c r="F6" i="22"/>
  <c r="K6" i="22"/>
  <c r="L6" i="22"/>
  <c r="R6" i="22"/>
  <c r="S6" i="22"/>
  <c r="Y6" i="22"/>
  <c r="Z6" i="22"/>
  <c r="AF6" i="22"/>
  <c r="AG6" i="22"/>
  <c r="B7" i="22"/>
  <c r="C7" i="22"/>
  <c r="D7" i="22"/>
  <c r="F7" i="22"/>
  <c r="K7" i="22"/>
  <c r="L7" i="22"/>
  <c r="R7" i="22"/>
  <c r="S7" i="22"/>
  <c r="Y7" i="22"/>
  <c r="Z7" i="22"/>
  <c r="AF7" i="22"/>
  <c r="AG7" i="22"/>
  <c r="B8" i="22"/>
  <c r="C8" i="22"/>
  <c r="D8" i="22"/>
  <c r="F8" i="22"/>
  <c r="K8" i="22"/>
  <c r="L8" i="22"/>
  <c r="R8" i="22"/>
  <c r="S8" i="22"/>
  <c r="Y8" i="22"/>
  <c r="Z8" i="22"/>
  <c r="AF8" i="22"/>
  <c r="AG8" i="22"/>
  <c r="B9" i="22"/>
  <c r="C9" i="22"/>
  <c r="D9" i="22"/>
  <c r="F9" i="22"/>
  <c r="K9" i="22"/>
  <c r="L9" i="22"/>
  <c r="R9" i="22"/>
  <c r="S9" i="22"/>
  <c r="Y9" i="22"/>
  <c r="Z9" i="22"/>
  <c r="AF9" i="22"/>
  <c r="AG9" i="22"/>
  <c r="K10" i="22"/>
  <c r="L10" i="22"/>
  <c r="R10" i="22"/>
  <c r="S10" i="22"/>
  <c r="Y10" i="22"/>
  <c r="Z10" i="22"/>
  <c r="AF10" i="22"/>
  <c r="AG10" i="22"/>
  <c r="F16" i="22"/>
  <c r="K16" i="22"/>
  <c r="L16" i="22"/>
  <c r="F17" i="22"/>
  <c r="K17" i="22"/>
  <c r="L17" i="22"/>
  <c r="F18" i="22"/>
  <c r="K18" i="22"/>
  <c r="L18" i="22"/>
  <c r="O18" i="22"/>
  <c r="F19" i="22"/>
  <c r="K19" i="22"/>
  <c r="L19" i="22"/>
  <c r="O19" i="22"/>
  <c r="S19" i="22"/>
  <c r="G2" i="23"/>
  <c r="N2" i="23"/>
  <c r="U2" i="23"/>
  <c r="AB2" i="23"/>
  <c r="B4" i="23"/>
  <c r="C4" i="23"/>
  <c r="D4" i="23"/>
  <c r="F4" i="23"/>
  <c r="B5" i="23"/>
  <c r="C5" i="23"/>
  <c r="D5" i="23"/>
  <c r="F5" i="23"/>
  <c r="B6" i="23"/>
  <c r="C6" i="23"/>
  <c r="D6" i="23"/>
  <c r="F6" i="23"/>
  <c r="B7" i="23"/>
  <c r="C7" i="23"/>
  <c r="D7" i="23"/>
  <c r="F7" i="23"/>
  <c r="B8" i="23"/>
  <c r="C8" i="23"/>
  <c r="D8" i="23"/>
  <c r="F8" i="23"/>
  <c r="B9" i="23"/>
  <c r="C9" i="23"/>
  <c r="D9" i="23"/>
  <c r="F9" i="23"/>
  <c r="F16" i="23"/>
  <c r="F17" i="23"/>
  <c r="F18" i="23"/>
  <c r="O18" i="23"/>
  <c r="F19" i="23"/>
  <c r="O19" i="23"/>
  <c r="S19" i="23"/>
  <c r="G2" i="21"/>
  <c r="N2" i="21"/>
  <c r="U2" i="21"/>
  <c r="AB2" i="21"/>
  <c r="B4" i="21"/>
  <c r="C4" i="21"/>
  <c r="D4" i="21"/>
  <c r="F4" i="21"/>
  <c r="K4" i="21"/>
  <c r="L4" i="21"/>
  <c r="R4" i="21"/>
  <c r="S4" i="21"/>
  <c r="Y4" i="21"/>
  <c r="Z4" i="21"/>
  <c r="AF4" i="21"/>
  <c r="AG4" i="21"/>
  <c r="B5" i="21"/>
  <c r="C5" i="21"/>
  <c r="D5" i="21"/>
  <c r="F5" i="21"/>
  <c r="K5" i="21"/>
  <c r="L5" i="21"/>
  <c r="R5" i="21"/>
  <c r="S5" i="21"/>
  <c r="Y5" i="21"/>
  <c r="Z5" i="21"/>
  <c r="AF5" i="21"/>
  <c r="AG5" i="21"/>
  <c r="B6" i="21"/>
  <c r="C6" i="21"/>
  <c r="D6" i="21"/>
  <c r="F6" i="21"/>
  <c r="K6" i="21"/>
  <c r="L6" i="21"/>
  <c r="R6" i="21"/>
  <c r="S6" i="21"/>
  <c r="Y6" i="21"/>
  <c r="Z6" i="21"/>
  <c r="AF6" i="21"/>
  <c r="AG6" i="21"/>
  <c r="B7" i="21"/>
  <c r="C7" i="21"/>
  <c r="D7" i="21"/>
  <c r="F7" i="21"/>
  <c r="K7" i="21"/>
  <c r="L7" i="21"/>
  <c r="R7" i="21"/>
  <c r="S7" i="21"/>
  <c r="Y7" i="21"/>
  <c r="Z7" i="21"/>
  <c r="AF7" i="21"/>
  <c r="AG7" i="21"/>
  <c r="B8" i="21"/>
  <c r="C8" i="21"/>
  <c r="D8" i="21"/>
  <c r="F8" i="21"/>
  <c r="K8" i="21"/>
  <c r="L8" i="21"/>
  <c r="R8" i="21"/>
  <c r="S8" i="21"/>
  <c r="Y8" i="21"/>
  <c r="Z8" i="21"/>
  <c r="AF8" i="21"/>
  <c r="AG8" i="21"/>
  <c r="B9" i="21"/>
  <c r="C9" i="21"/>
  <c r="D9" i="21"/>
  <c r="F9" i="21"/>
  <c r="K9" i="21"/>
  <c r="L9" i="21"/>
  <c r="R9" i="21"/>
  <c r="S9" i="21"/>
  <c r="Y9" i="21"/>
  <c r="Z9" i="21"/>
  <c r="AF9" i="21"/>
  <c r="AG9" i="21"/>
  <c r="K10" i="21"/>
  <c r="L10" i="21"/>
  <c r="R10" i="21"/>
  <c r="S10" i="21"/>
  <c r="Y10" i="21"/>
  <c r="Z10" i="21"/>
  <c r="AF10" i="21"/>
  <c r="AG10" i="21"/>
  <c r="F16" i="21"/>
  <c r="K16" i="21"/>
  <c r="L16" i="21"/>
  <c r="F17" i="21"/>
  <c r="K17" i="21"/>
  <c r="L17" i="21"/>
  <c r="F18" i="21"/>
  <c r="K18" i="21"/>
  <c r="L18" i="21"/>
  <c r="O18" i="21"/>
  <c r="F19" i="21"/>
  <c r="K19" i="21"/>
  <c r="L19" i="21"/>
  <c r="O19" i="21"/>
  <c r="S19" i="21"/>
  <c r="G2" i="20"/>
  <c r="N2" i="20"/>
  <c r="U2" i="20"/>
  <c r="AB2" i="20"/>
  <c r="B4" i="20"/>
  <c r="C4" i="20"/>
  <c r="D4" i="20"/>
  <c r="F4" i="20"/>
  <c r="K4" i="20"/>
  <c r="L4" i="20"/>
  <c r="R4" i="20"/>
  <c r="S4" i="20"/>
  <c r="Y4" i="20"/>
  <c r="Z4" i="20"/>
  <c r="AF4" i="20"/>
  <c r="AG4" i="20"/>
  <c r="B5" i="20"/>
  <c r="C5" i="20"/>
  <c r="D5" i="20"/>
  <c r="F5" i="20"/>
  <c r="K5" i="20"/>
  <c r="L5" i="20"/>
  <c r="R5" i="20"/>
  <c r="S5" i="20"/>
  <c r="Y5" i="20"/>
  <c r="Z5" i="20"/>
  <c r="AF5" i="20"/>
  <c r="AG5" i="20"/>
  <c r="B6" i="20"/>
  <c r="C6" i="20"/>
  <c r="D6" i="20"/>
  <c r="F6" i="20"/>
  <c r="K6" i="20"/>
  <c r="L6" i="20"/>
  <c r="R6" i="20"/>
  <c r="S6" i="20"/>
  <c r="Y6" i="20"/>
  <c r="Z6" i="20"/>
  <c r="AF6" i="20"/>
  <c r="AG6" i="20"/>
  <c r="B7" i="20"/>
  <c r="C7" i="20"/>
  <c r="D7" i="20"/>
  <c r="F7" i="20"/>
  <c r="K7" i="20"/>
  <c r="L7" i="20"/>
  <c r="R7" i="20"/>
  <c r="S7" i="20"/>
  <c r="Y7" i="20"/>
  <c r="Z7" i="20"/>
  <c r="AF7" i="20"/>
  <c r="AG7" i="20"/>
  <c r="B8" i="20"/>
  <c r="C8" i="20"/>
  <c r="D8" i="20"/>
  <c r="F8" i="20"/>
  <c r="K8" i="20"/>
  <c r="L8" i="20"/>
  <c r="R8" i="20"/>
  <c r="S8" i="20"/>
  <c r="Y8" i="20"/>
  <c r="Z8" i="20"/>
  <c r="AF8" i="20"/>
  <c r="AG8" i="20"/>
  <c r="B9" i="20"/>
  <c r="C9" i="20"/>
  <c r="D9" i="20"/>
  <c r="F9" i="20"/>
  <c r="K9" i="20"/>
  <c r="L9" i="20"/>
  <c r="R9" i="20"/>
  <c r="S9" i="20"/>
  <c r="Y9" i="20"/>
  <c r="Z9" i="20"/>
  <c r="AF9" i="20"/>
  <c r="AG9" i="20"/>
  <c r="K10" i="20"/>
  <c r="L10" i="20"/>
  <c r="R10" i="20"/>
  <c r="S10" i="20"/>
  <c r="Y10" i="20"/>
  <c r="Z10" i="20"/>
  <c r="AF10" i="20"/>
  <c r="AG10" i="20"/>
  <c r="F16" i="20"/>
  <c r="K16" i="20"/>
  <c r="L16" i="20"/>
  <c r="F17" i="20"/>
  <c r="K17" i="20"/>
  <c r="L17" i="20"/>
  <c r="F18" i="20"/>
  <c r="K18" i="20"/>
  <c r="L18" i="20"/>
  <c r="O18" i="20"/>
  <c r="F19" i="20"/>
  <c r="K19" i="20"/>
  <c r="L19" i="20"/>
  <c r="O19" i="20"/>
  <c r="S19" i="20"/>
  <c r="G2" i="19"/>
  <c r="N2" i="19"/>
  <c r="U2" i="19"/>
  <c r="AB2" i="19"/>
  <c r="B4" i="19"/>
  <c r="C4" i="19"/>
  <c r="D4" i="19"/>
  <c r="F4" i="19"/>
  <c r="K4" i="19"/>
  <c r="L4" i="19"/>
  <c r="R4" i="19"/>
  <c r="S4" i="19"/>
  <c r="Y4" i="19"/>
  <c r="Z4" i="19"/>
  <c r="AF4" i="19"/>
  <c r="AG4" i="19"/>
  <c r="B5" i="19"/>
  <c r="C5" i="19"/>
  <c r="D5" i="19"/>
  <c r="F5" i="19"/>
  <c r="K5" i="19"/>
  <c r="L5" i="19"/>
  <c r="R5" i="19"/>
  <c r="S5" i="19"/>
  <c r="Y5" i="19"/>
  <c r="Z5" i="19"/>
  <c r="AF5" i="19"/>
  <c r="AG5" i="19"/>
  <c r="B6" i="19"/>
  <c r="C6" i="19"/>
  <c r="D6" i="19"/>
  <c r="F6" i="19"/>
  <c r="K6" i="19"/>
  <c r="L6" i="19"/>
  <c r="R6" i="19"/>
  <c r="S6" i="19"/>
  <c r="Y6" i="19"/>
  <c r="Z6" i="19"/>
  <c r="AF6" i="19"/>
  <c r="AG6" i="19"/>
  <c r="B7" i="19"/>
  <c r="C7" i="19"/>
  <c r="D7" i="19"/>
  <c r="F7" i="19"/>
  <c r="K7" i="19"/>
  <c r="L7" i="19"/>
  <c r="R7" i="19"/>
  <c r="S7" i="19"/>
  <c r="Y7" i="19"/>
  <c r="Z7" i="19"/>
  <c r="AF7" i="19"/>
  <c r="AG7" i="19"/>
  <c r="B8" i="19"/>
  <c r="C8" i="19"/>
  <c r="D8" i="19"/>
  <c r="F8" i="19"/>
  <c r="K8" i="19"/>
  <c r="L8" i="19"/>
  <c r="R8" i="19"/>
  <c r="S8" i="19"/>
  <c r="Y8" i="19"/>
  <c r="Z8" i="19"/>
  <c r="AF8" i="19"/>
  <c r="AG8" i="19"/>
  <c r="B9" i="19"/>
  <c r="C9" i="19"/>
  <c r="D9" i="19"/>
  <c r="F9" i="19"/>
  <c r="K9" i="19"/>
  <c r="L9" i="19"/>
  <c r="R9" i="19"/>
  <c r="S9" i="19"/>
  <c r="Y9" i="19"/>
  <c r="Z9" i="19"/>
  <c r="AF9" i="19"/>
  <c r="AG9" i="19"/>
  <c r="K10" i="19"/>
  <c r="L10" i="19"/>
  <c r="R10" i="19"/>
  <c r="S10" i="19"/>
  <c r="Y10" i="19"/>
  <c r="Z10" i="19"/>
  <c r="AF10" i="19"/>
  <c r="AG10" i="19"/>
  <c r="F16" i="19"/>
  <c r="K16" i="19"/>
  <c r="L16" i="19"/>
  <c r="F17" i="19"/>
  <c r="K17" i="19"/>
  <c r="L17" i="19"/>
  <c r="F18" i="19"/>
  <c r="K18" i="19"/>
  <c r="L18" i="19"/>
  <c r="O18" i="19"/>
  <c r="F19" i="19"/>
  <c r="K19" i="19"/>
  <c r="L19" i="19"/>
  <c r="O19" i="19"/>
  <c r="S19" i="19"/>
  <c r="G2" i="18"/>
  <c r="N2" i="18"/>
  <c r="U2" i="18"/>
  <c r="AB2" i="18"/>
  <c r="B4" i="18"/>
  <c r="C4" i="18"/>
  <c r="D4" i="18"/>
  <c r="F4" i="18"/>
  <c r="K4" i="18"/>
  <c r="L4" i="18"/>
  <c r="R4" i="18"/>
  <c r="S4" i="18"/>
  <c r="Y4" i="18"/>
  <c r="Z4" i="18"/>
  <c r="AF4" i="18"/>
  <c r="AG4" i="18"/>
  <c r="B5" i="18"/>
  <c r="C5" i="18"/>
  <c r="D5" i="18"/>
  <c r="F5" i="18"/>
  <c r="K5" i="18"/>
  <c r="L5" i="18"/>
  <c r="R5" i="18"/>
  <c r="S5" i="18"/>
  <c r="Y5" i="18"/>
  <c r="Z5" i="18"/>
  <c r="AF5" i="18"/>
  <c r="AG5" i="18"/>
  <c r="B6" i="18"/>
  <c r="C6" i="18"/>
  <c r="D6" i="18"/>
  <c r="F6" i="18"/>
  <c r="K6" i="18"/>
  <c r="L6" i="18"/>
  <c r="R6" i="18"/>
  <c r="S6" i="18"/>
  <c r="Y6" i="18"/>
  <c r="Z6" i="18"/>
  <c r="AF6" i="18"/>
  <c r="AG6" i="18"/>
  <c r="B7" i="18"/>
  <c r="C7" i="18"/>
  <c r="D7" i="18"/>
  <c r="F7" i="18"/>
  <c r="K7" i="18"/>
  <c r="L7" i="18"/>
  <c r="R7" i="18"/>
  <c r="S7" i="18"/>
  <c r="Y7" i="18"/>
  <c r="Z7" i="18"/>
  <c r="AF7" i="18"/>
  <c r="AG7" i="18"/>
  <c r="B8" i="18"/>
  <c r="C8" i="18"/>
  <c r="D8" i="18"/>
  <c r="F8" i="18"/>
  <c r="K8" i="18"/>
  <c r="L8" i="18"/>
  <c r="R8" i="18"/>
  <c r="S8" i="18"/>
  <c r="Y8" i="18"/>
  <c r="Z8" i="18"/>
  <c r="AF8" i="18"/>
  <c r="AG8" i="18"/>
  <c r="B9" i="18"/>
  <c r="C9" i="18"/>
  <c r="D9" i="18"/>
  <c r="F9" i="18"/>
  <c r="K9" i="18"/>
  <c r="L9" i="18"/>
  <c r="R9" i="18"/>
  <c r="S9" i="18"/>
  <c r="Y9" i="18"/>
  <c r="Z9" i="18"/>
  <c r="AF9" i="18"/>
  <c r="AG9" i="18"/>
  <c r="K10" i="18"/>
  <c r="L10" i="18"/>
  <c r="R10" i="18"/>
  <c r="S10" i="18"/>
  <c r="Y10" i="18"/>
  <c r="Z10" i="18"/>
  <c r="AF10" i="18"/>
  <c r="AG10" i="18"/>
  <c r="F16" i="18"/>
  <c r="K16" i="18"/>
  <c r="L16" i="18"/>
  <c r="F17" i="18"/>
  <c r="K17" i="18"/>
  <c r="L17" i="18"/>
  <c r="F18" i="18"/>
  <c r="K18" i="18"/>
  <c r="L18" i="18"/>
  <c r="O18" i="18"/>
  <c r="F19" i="18"/>
  <c r="K19" i="18"/>
  <c r="L19" i="18"/>
  <c r="O19" i="18"/>
  <c r="S19" i="18"/>
  <c r="G2" i="17"/>
  <c r="N2" i="17"/>
  <c r="U2" i="17"/>
  <c r="AB2" i="17"/>
  <c r="B4" i="17"/>
  <c r="C4" i="17"/>
  <c r="D4" i="17"/>
  <c r="F4" i="17"/>
  <c r="K4" i="17"/>
  <c r="L4" i="17"/>
  <c r="R4" i="17"/>
  <c r="S4" i="17"/>
  <c r="Y4" i="17"/>
  <c r="Z4" i="17"/>
  <c r="AF4" i="17"/>
  <c r="AG4" i="17"/>
  <c r="B5" i="17"/>
  <c r="C5" i="17"/>
  <c r="D5" i="17"/>
  <c r="F5" i="17"/>
  <c r="K5" i="17"/>
  <c r="L5" i="17"/>
  <c r="R5" i="17"/>
  <c r="S5" i="17"/>
  <c r="Y5" i="17"/>
  <c r="Z5" i="17"/>
  <c r="AF5" i="17"/>
  <c r="AG5" i="17"/>
  <c r="B6" i="17"/>
  <c r="C6" i="17"/>
  <c r="D6" i="17"/>
  <c r="F6" i="17"/>
  <c r="K6" i="17"/>
  <c r="L6" i="17"/>
  <c r="R6" i="17"/>
  <c r="S6" i="17"/>
  <c r="Y6" i="17"/>
  <c r="Z6" i="17"/>
  <c r="AF6" i="17"/>
  <c r="AG6" i="17"/>
  <c r="B7" i="17"/>
  <c r="C7" i="17"/>
  <c r="D7" i="17"/>
  <c r="F7" i="17"/>
  <c r="K7" i="17"/>
  <c r="L7" i="17"/>
  <c r="R7" i="17"/>
  <c r="S7" i="17"/>
  <c r="Y7" i="17"/>
  <c r="Z7" i="17"/>
  <c r="AF7" i="17"/>
  <c r="AG7" i="17"/>
  <c r="B8" i="17"/>
  <c r="C8" i="17"/>
  <c r="D8" i="17"/>
  <c r="F8" i="17"/>
  <c r="K8" i="17"/>
  <c r="L8" i="17"/>
  <c r="R8" i="17"/>
  <c r="S8" i="17"/>
  <c r="Y8" i="17"/>
  <c r="Z8" i="17"/>
  <c r="AF8" i="17"/>
  <c r="AG8" i="17"/>
  <c r="B9" i="17"/>
  <c r="C9" i="17"/>
  <c r="D9" i="17"/>
  <c r="F9" i="17"/>
  <c r="K9" i="17"/>
  <c r="L9" i="17"/>
  <c r="R9" i="17"/>
  <c r="S9" i="17"/>
  <c r="Y9" i="17"/>
  <c r="Z9" i="17"/>
  <c r="AF9" i="17"/>
  <c r="AG9" i="17"/>
  <c r="K10" i="17"/>
  <c r="L10" i="17"/>
  <c r="R10" i="17"/>
  <c r="S10" i="17"/>
  <c r="Y10" i="17"/>
  <c r="Z10" i="17"/>
  <c r="AF10" i="17"/>
  <c r="AG10" i="17"/>
  <c r="F16" i="17"/>
  <c r="K16" i="17"/>
  <c r="L16" i="17"/>
  <c r="F17" i="17"/>
  <c r="K17" i="17"/>
  <c r="L17" i="17"/>
  <c r="F18" i="17"/>
  <c r="K18" i="17"/>
  <c r="L18" i="17"/>
  <c r="O18" i="17"/>
  <c r="F19" i="17"/>
  <c r="K19" i="17"/>
  <c r="L19" i="17"/>
  <c r="O19" i="17"/>
  <c r="S19" i="17"/>
  <c r="G2" i="16"/>
  <c r="N2" i="16"/>
  <c r="U2" i="16"/>
  <c r="AB2" i="16"/>
  <c r="B4" i="16"/>
  <c r="C4" i="16"/>
  <c r="D4" i="16"/>
  <c r="F4" i="16"/>
  <c r="K4" i="16"/>
  <c r="L4" i="16"/>
  <c r="R4" i="16"/>
  <c r="S4" i="16"/>
  <c r="Y4" i="16"/>
  <c r="Z4" i="16"/>
  <c r="AF4" i="16"/>
  <c r="AG4" i="16"/>
  <c r="B5" i="16"/>
  <c r="C5" i="16"/>
  <c r="D5" i="16"/>
  <c r="F5" i="16"/>
  <c r="K5" i="16"/>
  <c r="L5" i="16"/>
  <c r="R5" i="16"/>
  <c r="S5" i="16"/>
  <c r="Y5" i="16"/>
  <c r="Z5" i="16"/>
  <c r="AF5" i="16"/>
  <c r="AG5" i="16"/>
  <c r="B6" i="16"/>
  <c r="C6" i="16"/>
  <c r="D6" i="16"/>
  <c r="F6" i="16"/>
  <c r="K6" i="16"/>
  <c r="L6" i="16"/>
  <c r="R6" i="16"/>
  <c r="S6" i="16"/>
  <c r="Y6" i="16"/>
  <c r="Z6" i="16"/>
  <c r="AF6" i="16"/>
  <c r="AG6" i="16"/>
  <c r="B7" i="16"/>
  <c r="C7" i="16"/>
  <c r="D7" i="16"/>
  <c r="F7" i="16"/>
  <c r="K7" i="16"/>
  <c r="L7" i="16"/>
  <c r="R7" i="16"/>
  <c r="S7" i="16"/>
  <c r="Y7" i="16"/>
  <c r="Z7" i="16"/>
  <c r="AF7" i="16"/>
  <c r="AG7" i="16"/>
  <c r="B8" i="16"/>
  <c r="C8" i="16"/>
  <c r="D8" i="16"/>
  <c r="F8" i="16"/>
  <c r="K8" i="16"/>
  <c r="L8" i="16"/>
  <c r="R8" i="16"/>
  <c r="S8" i="16"/>
  <c r="Y8" i="16"/>
  <c r="Z8" i="16"/>
  <c r="AF8" i="16"/>
  <c r="AG8" i="16"/>
  <c r="B9" i="16"/>
  <c r="C9" i="16"/>
  <c r="D9" i="16"/>
  <c r="F9" i="16"/>
  <c r="K9" i="16"/>
  <c r="L9" i="16"/>
  <c r="R9" i="16"/>
  <c r="S9" i="16"/>
  <c r="Y9" i="16"/>
  <c r="Z9" i="16"/>
  <c r="AF9" i="16"/>
  <c r="AG9" i="16"/>
  <c r="K10" i="16"/>
  <c r="L10" i="16"/>
  <c r="R10" i="16"/>
  <c r="S10" i="16"/>
  <c r="Y10" i="16"/>
  <c r="Z10" i="16"/>
  <c r="AF10" i="16"/>
  <c r="AG10" i="16"/>
  <c r="F16" i="16"/>
  <c r="K16" i="16"/>
  <c r="L16" i="16"/>
  <c r="F17" i="16"/>
  <c r="K17" i="16"/>
  <c r="L17" i="16"/>
  <c r="F18" i="16"/>
  <c r="K18" i="16"/>
  <c r="L18" i="16"/>
  <c r="O18" i="16"/>
  <c r="F19" i="16"/>
  <c r="K19" i="16"/>
  <c r="L19" i="16"/>
  <c r="O19" i="16"/>
  <c r="S19" i="16"/>
  <c r="L4" i="12"/>
  <c r="M4" i="12"/>
  <c r="E8" i="12"/>
  <c r="A8" i="12" s="1"/>
  <c r="J8" i="12"/>
  <c r="E12" i="12"/>
  <c r="A12" i="12" s="1"/>
  <c r="J12" i="12"/>
  <c r="E16" i="12"/>
  <c r="A16" i="12" s="1"/>
  <c r="J16" i="12"/>
  <c r="E20" i="12"/>
  <c r="A20" i="12" s="1"/>
  <c r="J20" i="12"/>
  <c r="R23" i="12"/>
  <c r="S23" i="12"/>
  <c r="S24" i="12"/>
  <c r="B8" i="15"/>
  <c r="F8" i="15"/>
  <c r="I8" i="15"/>
  <c r="M8" i="15"/>
  <c r="P8" i="15"/>
  <c r="T8" i="15"/>
  <c r="W8" i="15"/>
  <c r="AA8" i="15"/>
  <c r="B10" i="15"/>
  <c r="F10" i="15"/>
  <c r="I10" i="15"/>
  <c r="M10" i="15"/>
  <c r="P10" i="15"/>
  <c r="T10" i="15"/>
  <c r="W10" i="15"/>
  <c r="AA10" i="15"/>
  <c r="B12" i="15"/>
  <c r="F12" i="15"/>
  <c r="I12" i="15"/>
  <c r="M12" i="15"/>
  <c r="P12" i="15"/>
  <c r="T12" i="15"/>
  <c r="W12" i="15"/>
  <c r="AA12" i="15"/>
  <c r="B14" i="15"/>
  <c r="F14" i="15"/>
  <c r="I14" i="15"/>
  <c r="M14" i="15"/>
  <c r="P14" i="15"/>
  <c r="T14" i="15"/>
  <c r="W14" i="15"/>
  <c r="AA14" i="15"/>
  <c r="B22" i="15"/>
  <c r="F22" i="15"/>
  <c r="I22" i="15"/>
  <c r="M22" i="15"/>
  <c r="P22" i="15"/>
  <c r="T22" i="15"/>
  <c r="W22" i="15"/>
  <c r="AA22" i="15"/>
  <c r="B24" i="15"/>
  <c r="F24" i="15"/>
  <c r="I24" i="15"/>
  <c r="M24" i="15"/>
  <c r="P24" i="15"/>
  <c r="T24" i="15"/>
  <c r="W24" i="15"/>
  <c r="AA24" i="15"/>
  <c r="B26" i="15"/>
  <c r="F26" i="15"/>
  <c r="I26" i="15"/>
  <c r="M26" i="15"/>
  <c r="P26" i="15"/>
  <c r="T26" i="15"/>
  <c r="W26" i="15"/>
  <c r="AA26" i="15"/>
  <c r="B28" i="15"/>
  <c r="F28" i="15"/>
  <c r="I28" i="15"/>
  <c r="M28" i="15"/>
  <c r="P28" i="15"/>
  <c r="T28" i="15"/>
  <c r="W28" i="15"/>
  <c r="AA28" i="15"/>
  <c r="B6" i="3"/>
  <c r="A4" i="22" s="1"/>
  <c r="F6" i="3"/>
  <c r="E4" i="22" s="1"/>
  <c r="B7" i="3"/>
  <c r="A5" i="22" s="1"/>
  <c r="F7" i="3"/>
  <c r="E5" i="22" s="1"/>
  <c r="B8" i="3"/>
  <c r="A6" i="22" s="1"/>
  <c r="F8" i="3"/>
  <c r="E6" i="22" s="1"/>
  <c r="B9" i="3"/>
  <c r="A7" i="22" s="1"/>
  <c r="F9" i="3"/>
  <c r="E7" i="22" s="1"/>
  <c r="B10" i="3"/>
  <c r="A8" i="22" s="1"/>
  <c r="F10" i="3"/>
  <c r="E8" i="22" s="1"/>
  <c r="B11" i="3"/>
  <c r="A9" i="22" s="1"/>
  <c r="F11" i="3"/>
  <c r="E9" i="22" s="1"/>
  <c r="Q24" i="3"/>
  <c r="L6" i="3" s="1"/>
  <c r="A6" i="3" s="1"/>
  <c r="R24" i="3"/>
  <c r="Q25" i="3"/>
  <c r="R25" i="3"/>
  <c r="R26" i="3"/>
  <c r="B6" i="4"/>
  <c r="A4" i="23" s="1"/>
  <c r="F6" i="4"/>
  <c r="E4" i="23" s="1"/>
  <c r="B7" i="4"/>
  <c r="A5" i="23" s="1"/>
  <c r="F7" i="4"/>
  <c r="E5" i="23" s="1"/>
  <c r="B8" i="4"/>
  <c r="A6" i="23" s="1"/>
  <c r="F8" i="4"/>
  <c r="E6" i="23" s="1"/>
  <c r="B9" i="4"/>
  <c r="A7" i="23" s="1"/>
  <c r="F9" i="4"/>
  <c r="E7" i="23" s="1"/>
  <c r="B10" i="4"/>
  <c r="A8" i="23" s="1"/>
  <c r="F10" i="4"/>
  <c r="E8" i="23" s="1"/>
  <c r="B11" i="4"/>
  <c r="A9" i="23" s="1"/>
  <c r="F11" i="4"/>
  <c r="E9" i="23" s="1"/>
  <c r="Q24" i="4"/>
  <c r="L6" i="4" s="1"/>
  <c r="A6" i="4" s="1"/>
  <c r="R24" i="4"/>
  <c r="Q25" i="4"/>
  <c r="R25" i="4"/>
  <c r="R26" i="4"/>
  <c r="B6" i="5"/>
  <c r="A4" i="21" s="1"/>
  <c r="F6" i="5"/>
  <c r="E4" i="21" s="1"/>
  <c r="B7" i="5"/>
  <c r="A5" i="21" s="1"/>
  <c r="F7" i="5"/>
  <c r="E5" i="21" s="1"/>
  <c r="B8" i="5"/>
  <c r="A6" i="21" s="1"/>
  <c r="F8" i="5"/>
  <c r="E6" i="21" s="1"/>
  <c r="B9" i="5"/>
  <c r="A7" i="21" s="1"/>
  <c r="F9" i="5"/>
  <c r="E7" i="21" s="1"/>
  <c r="B10" i="5"/>
  <c r="A8" i="21" s="1"/>
  <c r="F10" i="5"/>
  <c r="E8" i="21" s="1"/>
  <c r="B11" i="5"/>
  <c r="A9" i="21" s="1"/>
  <c r="F11" i="5"/>
  <c r="E9" i="21" s="1"/>
  <c r="Q24" i="5"/>
  <c r="L6" i="5" s="1"/>
  <c r="A6" i="5" s="1"/>
  <c r="R24" i="5"/>
  <c r="Q25" i="5"/>
  <c r="R25" i="5"/>
  <c r="R26" i="5"/>
  <c r="B6" i="6"/>
  <c r="A4" i="20" s="1"/>
  <c r="F6" i="6"/>
  <c r="E4" i="20" s="1"/>
  <c r="B7" i="6"/>
  <c r="A5" i="20" s="1"/>
  <c r="F7" i="6"/>
  <c r="E5" i="20" s="1"/>
  <c r="B8" i="6"/>
  <c r="A6" i="20" s="1"/>
  <c r="F8" i="6"/>
  <c r="E6" i="20" s="1"/>
  <c r="B9" i="6"/>
  <c r="A7" i="20" s="1"/>
  <c r="F9" i="6"/>
  <c r="E7" i="20" s="1"/>
  <c r="B10" i="6"/>
  <c r="A8" i="20" s="1"/>
  <c r="F10" i="6"/>
  <c r="E8" i="20" s="1"/>
  <c r="B11" i="6"/>
  <c r="A9" i="20" s="1"/>
  <c r="F11" i="6"/>
  <c r="E9" i="20" s="1"/>
  <c r="Q24" i="6"/>
  <c r="L6" i="6" s="1"/>
  <c r="A6" i="6" s="1"/>
  <c r="R24" i="6"/>
  <c r="Q25" i="6"/>
  <c r="R25" i="6"/>
  <c r="R26" i="6"/>
  <c r="B6" i="7"/>
  <c r="A4" i="19" s="1"/>
  <c r="F6" i="7"/>
  <c r="E4" i="19" s="1"/>
  <c r="B7" i="7"/>
  <c r="A5" i="19" s="1"/>
  <c r="F7" i="7"/>
  <c r="E5" i="19" s="1"/>
  <c r="B8" i="7"/>
  <c r="A6" i="19" s="1"/>
  <c r="F8" i="7"/>
  <c r="E6" i="19" s="1"/>
  <c r="B9" i="7"/>
  <c r="A7" i="19" s="1"/>
  <c r="F9" i="7"/>
  <c r="E7" i="19" s="1"/>
  <c r="B10" i="7"/>
  <c r="A8" i="19" s="1"/>
  <c r="F10" i="7"/>
  <c r="E8" i="19" s="1"/>
  <c r="B11" i="7"/>
  <c r="A9" i="19" s="1"/>
  <c r="F11" i="7"/>
  <c r="E9" i="19" s="1"/>
  <c r="Q24" i="7"/>
  <c r="L6" i="7" s="1"/>
  <c r="A6" i="7" s="1"/>
  <c r="R24" i="7"/>
  <c r="Q25" i="7"/>
  <c r="R25" i="7"/>
  <c r="R26" i="7"/>
  <c r="B6" i="8"/>
  <c r="A4" i="18" s="1"/>
  <c r="F6" i="8"/>
  <c r="E4" i="18" s="1"/>
  <c r="B7" i="8"/>
  <c r="A5" i="18" s="1"/>
  <c r="F7" i="8"/>
  <c r="E5" i="18" s="1"/>
  <c r="B8" i="8"/>
  <c r="A6" i="18" s="1"/>
  <c r="F8" i="8"/>
  <c r="E6" i="18" s="1"/>
  <c r="B9" i="8"/>
  <c r="A7" i="18" s="1"/>
  <c r="F9" i="8"/>
  <c r="E7" i="18" s="1"/>
  <c r="B10" i="8"/>
  <c r="A8" i="18" s="1"/>
  <c r="F10" i="8"/>
  <c r="E8" i="18" s="1"/>
  <c r="B11" i="8"/>
  <c r="A9" i="18" s="1"/>
  <c r="F11" i="8"/>
  <c r="E9" i="18" s="1"/>
  <c r="Q24" i="8"/>
  <c r="L6" i="8" s="1"/>
  <c r="A6" i="8" s="1"/>
  <c r="R24" i="8"/>
  <c r="Q25" i="8"/>
  <c r="R25" i="8"/>
  <c r="R26" i="8"/>
  <c r="B6" i="9"/>
  <c r="A4" i="17" s="1"/>
  <c r="F6" i="9"/>
  <c r="E4" i="17" s="1"/>
  <c r="B7" i="9"/>
  <c r="A5" i="17" s="1"/>
  <c r="F7" i="9"/>
  <c r="E5" i="17" s="1"/>
  <c r="B8" i="9"/>
  <c r="A6" i="17" s="1"/>
  <c r="F8" i="9"/>
  <c r="E6" i="17" s="1"/>
  <c r="B9" i="9"/>
  <c r="A7" i="17" s="1"/>
  <c r="F9" i="9"/>
  <c r="E7" i="17" s="1"/>
  <c r="B10" i="9"/>
  <c r="A8" i="17" s="1"/>
  <c r="F10" i="9"/>
  <c r="E8" i="17" s="1"/>
  <c r="B11" i="9"/>
  <c r="A9" i="17" s="1"/>
  <c r="F11" i="9"/>
  <c r="E9" i="17" s="1"/>
  <c r="Q24" i="9"/>
  <c r="L6" i="9" s="1"/>
  <c r="A6" i="9" s="1"/>
  <c r="R24" i="9"/>
  <c r="Q25" i="9"/>
  <c r="R25" i="9"/>
  <c r="R26" i="9"/>
  <c r="B6" i="10"/>
  <c r="A4" i="16" s="1"/>
  <c r="F6" i="10"/>
  <c r="E4" i="16" s="1"/>
  <c r="B7" i="10"/>
  <c r="A5" i="16" s="1"/>
  <c r="F7" i="10"/>
  <c r="E5" i="16" s="1"/>
  <c r="B8" i="10"/>
  <c r="A6" i="16" s="1"/>
  <c r="F8" i="10"/>
  <c r="E6" i="16" s="1"/>
  <c r="B9" i="10"/>
  <c r="A7" i="16" s="1"/>
  <c r="F9" i="10"/>
  <c r="E7" i="16" s="1"/>
  <c r="B10" i="10"/>
  <c r="A8" i="16" s="1"/>
  <c r="F10" i="10"/>
  <c r="E8" i="16" s="1"/>
  <c r="B11" i="10"/>
  <c r="A9" i="16" s="1"/>
  <c r="F11" i="10"/>
  <c r="E9" i="16" s="1"/>
  <c r="Q24" i="10"/>
  <c r="L6" i="10" s="1"/>
  <c r="A6" i="10" s="1"/>
  <c r="R24" i="10"/>
  <c r="Q25" i="10"/>
  <c r="R25" i="10"/>
  <c r="R26" i="10"/>
  <c r="L4" i="11"/>
  <c r="M4" i="11"/>
  <c r="E8" i="11"/>
  <c r="A8" i="11" s="1"/>
  <c r="J8" i="11"/>
  <c r="E7" i="12" s="1"/>
  <c r="E12" i="11"/>
  <c r="A12" i="11" s="1"/>
  <c r="J12" i="11"/>
  <c r="E15" i="12" s="1"/>
  <c r="E16" i="11"/>
  <c r="A16" i="11" s="1"/>
  <c r="J16" i="11"/>
  <c r="E9" i="12" s="1"/>
  <c r="E20" i="11"/>
  <c r="A20" i="11" s="1"/>
  <c r="J20" i="11"/>
  <c r="E17" i="12" s="1"/>
  <c r="E24" i="11"/>
  <c r="A24" i="11" s="1"/>
  <c r="J24" i="11"/>
  <c r="E11" i="12" s="1"/>
  <c r="R26" i="11"/>
  <c r="S26" i="11"/>
  <c r="S27" i="11"/>
  <c r="E30" i="11"/>
  <c r="A30" i="11" s="1"/>
  <c r="J30" i="11"/>
  <c r="E19" i="12" s="1"/>
  <c r="E34" i="11"/>
  <c r="A34" i="11" s="1"/>
  <c r="J34" i="11"/>
  <c r="E13" i="12" s="1"/>
  <c r="E38" i="11"/>
  <c r="A38" i="11" s="1"/>
  <c r="J38" i="11"/>
  <c r="E21" i="12" s="1"/>
  <c r="L4" i="13"/>
  <c r="M4" i="13"/>
  <c r="E7" i="13"/>
  <c r="E8" i="13"/>
  <c r="A8" i="13" s="1"/>
  <c r="J8" i="13"/>
  <c r="E9" i="13"/>
  <c r="E11" i="13"/>
  <c r="E12" i="13"/>
  <c r="A12" i="13" s="1"/>
  <c r="J12" i="13"/>
  <c r="E13" i="13"/>
  <c r="R23" i="13"/>
  <c r="S23" i="13"/>
  <c r="S24" i="13"/>
  <c r="G9" i="16" l="1"/>
  <c r="I9" i="16" s="1"/>
  <c r="H9" i="16"/>
  <c r="J9" i="16"/>
  <c r="N9" i="16"/>
  <c r="P9" i="16" s="1"/>
  <c r="O9" i="16"/>
  <c r="Q9" i="16"/>
  <c r="U9" i="16"/>
  <c r="W9" i="16" s="1"/>
  <c r="V9" i="16"/>
  <c r="X9" i="16"/>
  <c r="AB9" i="16"/>
  <c r="AD9" i="16" s="1"/>
  <c r="AC9" i="16"/>
  <c r="AE9" i="16"/>
  <c r="G8" i="16"/>
  <c r="I8" i="16" s="1"/>
  <c r="H8" i="16"/>
  <c r="J8" i="16"/>
  <c r="N8" i="16"/>
  <c r="P8" i="16" s="1"/>
  <c r="O8" i="16"/>
  <c r="Q8" i="16"/>
  <c r="U8" i="16"/>
  <c r="W8" i="16" s="1"/>
  <c r="V8" i="16"/>
  <c r="X8" i="16"/>
  <c r="AB8" i="16"/>
  <c r="AD8" i="16" s="1"/>
  <c r="AC8" i="16"/>
  <c r="AE8" i="16"/>
  <c r="G7" i="16"/>
  <c r="I7" i="16" s="1"/>
  <c r="H7" i="16"/>
  <c r="J7" i="16"/>
  <c r="N7" i="16"/>
  <c r="P7" i="16" s="1"/>
  <c r="O7" i="16"/>
  <c r="Q7" i="16"/>
  <c r="U7" i="16"/>
  <c r="W7" i="16" s="1"/>
  <c r="V7" i="16"/>
  <c r="X7" i="16"/>
  <c r="AB7" i="16"/>
  <c r="AD7" i="16" s="1"/>
  <c r="AC7" i="16"/>
  <c r="AE7" i="16"/>
  <c r="G6" i="16"/>
  <c r="I6" i="16" s="1"/>
  <c r="H6" i="16"/>
  <c r="J6" i="16"/>
  <c r="N6" i="16"/>
  <c r="P6" i="16" s="1"/>
  <c r="O6" i="16"/>
  <c r="Q6" i="16"/>
  <c r="U6" i="16"/>
  <c r="W6" i="16" s="1"/>
  <c r="V6" i="16"/>
  <c r="X6" i="16"/>
  <c r="AB6" i="16"/>
  <c r="AD6" i="16" s="1"/>
  <c r="AC6" i="16"/>
  <c r="AE6" i="16"/>
  <c r="G5" i="16"/>
  <c r="I5" i="16" s="1"/>
  <c r="H5" i="16"/>
  <c r="J5" i="16"/>
  <c r="N5" i="16"/>
  <c r="P5" i="16" s="1"/>
  <c r="O5" i="16"/>
  <c r="Q5" i="16"/>
  <c r="U5" i="16"/>
  <c r="W5" i="16" s="1"/>
  <c r="V5" i="16"/>
  <c r="X5" i="16"/>
  <c r="AB5" i="16"/>
  <c r="AD5" i="16" s="1"/>
  <c r="AC5" i="16"/>
  <c r="AE5" i="16"/>
  <c r="G4" i="16"/>
  <c r="H4" i="16"/>
  <c r="H10" i="16" s="1"/>
  <c r="J4" i="16"/>
  <c r="J10" i="16" s="1"/>
  <c r="J16" i="16" s="1"/>
  <c r="N4" i="16"/>
  <c r="O4" i="16"/>
  <c r="O10" i="16" s="1"/>
  <c r="Q4" i="16"/>
  <c r="Q10" i="16" s="1"/>
  <c r="J17" i="16" s="1"/>
  <c r="U4" i="16"/>
  <c r="V4" i="16"/>
  <c r="V10" i="16" s="1"/>
  <c r="X4" i="16"/>
  <c r="X10" i="16" s="1"/>
  <c r="J18" i="16" s="1"/>
  <c r="AB4" i="16"/>
  <c r="AC4" i="16"/>
  <c r="AC10" i="16" s="1"/>
  <c r="AE4" i="16"/>
  <c r="AE10" i="16" s="1"/>
  <c r="J19" i="16" s="1"/>
  <c r="G9" i="17"/>
  <c r="I9" i="17" s="1"/>
  <c r="H9" i="17"/>
  <c r="J9" i="17"/>
  <c r="N9" i="17"/>
  <c r="P9" i="17" s="1"/>
  <c r="O9" i="17"/>
  <c r="Q9" i="17"/>
  <c r="U9" i="17"/>
  <c r="W9" i="17" s="1"/>
  <c r="V9" i="17"/>
  <c r="X9" i="17"/>
  <c r="AB9" i="17"/>
  <c r="AD9" i="17" s="1"/>
  <c r="AC9" i="17"/>
  <c r="AE9" i="17"/>
  <c r="G8" i="17"/>
  <c r="I8" i="17" s="1"/>
  <c r="H8" i="17"/>
  <c r="J8" i="17"/>
  <c r="N8" i="17"/>
  <c r="P8" i="17" s="1"/>
  <c r="O8" i="17"/>
  <c r="Q8" i="17"/>
  <c r="U8" i="17"/>
  <c r="W8" i="17" s="1"/>
  <c r="V8" i="17"/>
  <c r="X8" i="17"/>
  <c r="AB8" i="17"/>
  <c r="AD8" i="17" s="1"/>
  <c r="AC8" i="17"/>
  <c r="AE8" i="17"/>
  <c r="G7" i="17"/>
  <c r="I7" i="17" s="1"/>
  <c r="H7" i="17"/>
  <c r="J7" i="17"/>
  <c r="N7" i="17"/>
  <c r="P7" i="17" s="1"/>
  <c r="O7" i="17"/>
  <c r="Q7" i="17"/>
  <c r="U7" i="17"/>
  <c r="W7" i="17" s="1"/>
  <c r="V7" i="17"/>
  <c r="X7" i="17"/>
  <c r="AB7" i="17"/>
  <c r="AD7" i="17" s="1"/>
  <c r="AC7" i="17"/>
  <c r="AE7" i="17"/>
  <c r="G6" i="17"/>
  <c r="I6" i="17" s="1"/>
  <c r="H6" i="17"/>
  <c r="J6" i="17"/>
  <c r="N6" i="17"/>
  <c r="P6" i="17" s="1"/>
  <c r="O6" i="17"/>
  <c r="Q6" i="17"/>
  <c r="U6" i="17"/>
  <c r="W6" i="17" s="1"/>
  <c r="V6" i="17"/>
  <c r="X6" i="17"/>
  <c r="AB6" i="17"/>
  <c r="AD6" i="17" s="1"/>
  <c r="AC6" i="17"/>
  <c r="AE6" i="17"/>
  <c r="G5" i="17"/>
  <c r="I5" i="17" s="1"/>
  <c r="H5" i="17"/>
  <c r="J5" i="17"/>
  <c r="N5" i="17"/>
  <c r="P5" i="17" s="1"/>
  <c r="O5" i="17"/>
  <c r="Q5" i="17"/>
  <c r="U5" i="17"/>
  <c r="W5" i="17" s="1"/>
  <c r="V5" i="17"/>
  <c r="X5" i="17"/>
  <c r="AB5" i="17"/>
  <c r="AD5" i="17" s="1"/>
  <c r="AC5" i="17"/>
  <c r="AE5" i="17"/>
  <c r="G4" i="17"/>
  <c r="H4" i="17"/>
  <c r="H10" i="17" s="1"/>
  <c r="J4" i="17"/>
  <c r="J10" i="17" s="1"/>
  <c r="J16" i="17" s="1"/>
  <c r="N4" i="17"/>
  <c r="O4" i="17"/>
  <c r="O10" i="17" s="1"/>
  <c r="Q4" i="17"/>
  <c r="Q10" i="17" s="1"/>
  <c r="J17" i="17" s="1"/>
  <c r="U4" i="17"/>
  <c r="V4" i="17"/>
  <c r="V10" i="17" s="1"/>
  <c r="X4" i="17"/>
  <c r="X10" i="17" s="1"/>
  <c r="J18" i="17" s="1"/>
  <c r="AB4" i="17"/>
  <c r="AC4" i="17"/>
  <c r="AC10" i="17" s="1"/>
  <c r="AE4" i="17"/>
  <c r="AE10" i="17" s="1"/>
  <c r="J19" i="17" s="1"/>
  <c r="E10" i="14"/>
  <c r="E17" i="14"/>
  <c r="E8" i="14"/>
  <c r="E15" i="14"/>
  <c r="L11" i="10"/>
  <c r="A11" i="10" s="1"/>
  <c r="L10" i="10"/>
  <c r="A10" i="10" s="1"/>
  <c r="L9" i="10"/>
  <c r="A9" i="10" s="1"/>
  <c r="L8" i="10"/>
  <c r="A8" i="10" s="1"/>
  <c r="L7" i="10"/>
  <c r="A7" i="10" s="1"/>
  <c r="L11" i="9"/>
  <c r="A11" i="9" s="1"/>
  <c r="L10" i="9"/>
  <c r="A10" i="9" s="1"/>
  <c r="L9" i="9"/>
  <c r="A9" i="9" s="1"/>
  <c r="L8" i="9"/>
  <c r="A8" i="9" s="1"/>
  <c r="L7" i="9"/>
  <c r="A7" i="9" s="1"/>
  <c r="L11" i="8"/>
  <c r="A11" i="8" s="1"/>
  <c r="G9" i="18"/>
  <c r="I9" i="18" s="1"/>
  <c r="H9" i="18"/>
  <c r="J9" i="18"/>
  <c r="N9" i="18"/>
  <c r="P9" i="18" s="1"/>
  <c r="O9" i="18"/>
  <c r="Q9" i="18"/>
  <c r="U9" i="18"/>
  <c r="W9" i="18" s="1"/>
  <c r="V9" i="18"/>
  <c r="X9" i="18"/>
  <c r="AB9" i="18"/>
  <c r="AD9" i="18" s="1"/>
  <c r="AC9" i="18"/>
  <c r="AE9" i="18"/>
  <c r="L10" i="8"/>
  <c r="A10" i="8" s="1"/>
  <c r="G8" i="18"/>
  <c r="I8" i="18" s="1"/>
  <c r="H8" i="18"/>
  <c r="J8" i="18"/>
  <c r="N8" i="18"/>
  <c r="P8" i="18" s="1"/>
  <c r="O8" i="18"/>
  <c r="Q8" i="18"/>
  <c r="U8" i="18"/>
  <c r="W8" i="18" s="1"/>
  <c r="V8" i="18"/>
  <c r="X8" i="18"/>
  <c r="AB8" i="18"/>
  <c r="AD8" i="18" s="1"/>
  <c r="AC8" i="18"/>
  <c r="AE8" i="18"/>
  <c r="L9" i="8"/>
  <c r="A9" i="8" s="1"/>
  <c r="G7" i="18"/>
  <c r="I7" i="18" s="1"/>
  <c r="H7" i="18"/>
  <c r="J7" i="18"/>
  <c r="N7" i="18"/>
  <c r="P7" i="18" s="1"/>
  <c r="O7" i="18"/>
  <c r="Q7" i="18"/>
  <c r="U7" i="18"/>
  <c r="W7" i="18" s="1"/>
  <c r="V7" i="18"/>
  <c r="X7" i="18"/>
  <c r="AB7" i="18"/>
  <c r="AD7" i="18" s="1"/>
  <c r="AC7" i="18"/>
  <c r="AE7" i="18"/>
  <c r="L8" i="8"/>
  <c r="A8" i="8" s="1"/>
  <c r="G6" i="18"/>
  <c r="I6" i="18" s="1"/>
  <c r="H6" i="18"/>
  <c r="J6" i="18"/>
  <c r="N6" i="18"/>
  <c r="P6" i="18" s="1"/>
  <c r="O6" i="18"/>
  <c r="Q6" i="18"/>
  <c r="U6" i="18"/>
  <c r="W6" i="18" s="1"/>
  <c r="V6" i="18"/>
  <c r="X6" i="18"/>
  <c r="AB6" i="18"/>
  <c r="AD6" i="18" s="1"/>
  <c r="AC6" i="18"/>
  <c r="AE6" i="18"/>
  <c r="L7" i="8"/>
  <c r="A7" i="8" s="1"/>
  <c r="G5" i="18"/>
  <c r="I5" i="18" s="1"/>
  <c r="H5" i="18"/>
  <c r="J5" i="18"/>
  <c r="N5" i="18"/>
  <c r="P5" i="18" s="1"/>
  <c r="O5" i="18"/>
  <c r="Q5" i="18"/>
  <c r="U5" i="18"/>
  <c r="W5" i="18" s="1"/>
  <c r="V5" i="18"/>
  <c r="X5" i="18"/>
  <c r="AB5" i="18"/>
  <c r="AD5" i="18" s="1"/>
  <c r="AC5" i="18"/>
  <c r="AE5" i="18"/>
  <c r="G4" i="18"/>
  <c r="H4" i="18"/>
  <c r="H10" i="18" s="1"/>
  <c r="J4" i="18"/>
  <c r="J10" i="18" s="1"/>
  <c r="J16" i="18" s="1"/>
  <c r="N4" i="18"/>
  <c r="O4" i="18"/>
  <c r="O10" i="18" s="1"/>
  <c r="Q4" i="18"/>
  <c r="Q10" i="18" s="1"/>
  <c r="J17" i="18" s="1"/>
  <c r="U4" i="18"/>
  <c r="V4" i="18"/>
  <c r="V10" i="18" s="1"/>
  <c r="X4" i="18"/>
  <c r="X10" i="18" s="1"/>
  <c r="J18" i="18" s="1"/>
  <c r="AB4" i="18"/>
  <c r="AC4" i="18"/>
  <c r="AC10" i="18" s="1"/>
  <c r="AE4" i="18"/>
  <c r="AE10" i="18" s="1"/>
  <c r="J19" i="18" s="1"/>
  <c r="L11" i="7"/>
  <c r="A11" i="7" s="1"/>
  <c r="G9" i="19"/>
  <c r="I9" i="19" s="1"/>
  <c r="H9" i="19"/>
  <c r="J9" i="19"/>
  <c r="N9" i="19"/>
  <c r="P9" i="19" s="1"/>
  <c r="O9" i="19"/>
  <c r="Q9" i="19"/>
  <c r="U9" i="19"/>
  <c r="W9" i="19" s="1"/>
  <c r="V9" i="19"/>
  <c r="X9" i="19"/>
  <c r="AB9" i="19"/>
  <c r="AD9" i="19" s="1"/>
  <c r="AC9" i="19"/>
  <c r="AE9" i="19"/>
  <c r="L10" i="7"/>
  <c r="A10" i="7" s="1"/>
  <c r="G8" i="19"/>
  <c r="I8" i="19" s="1"/>
  <c r="H8" i="19"/>
  <c r="J8" i="19"/>
  <c r="N8" i="19"/>
  <c r="P8" i="19" s="1"/>
  <c r="O8" i="19"/>
  <c r="Q8" i="19"/>
  <c r="U8" i="19"/>
  <c r="W8" i="19" s="1"/>
  <c r="V8" i="19"/>
  <c r="X8" i="19"/>
  <c r="AB8" i="19"/>
  <c r="AD8" i="19" s="1"/>
  <c r="AC8" i="19"/>
  <c r="AE8" i="19"/>
  <c r="L9" i="7"/>
  <c r="A9" i="7" s="1"/>
  <c r="G7" i="19"/>
  <c r="I7" i="19" s="1"/>
  <c r="H7" i="19"/>
  <c r="J7" i="19"/>
  <c r="N7" i="19"/>
  <c r="P7" i="19" s="1"/>
  <c r="O7" i="19"/>
  <c r="Q7" i="19"/>
  <c r="U7" i="19"/>
  <c r="W7" i="19" s="1"/>
  <c r="V7" i="19"/>
  <c r="X7" i="19"/>
  <c r="AB7" i="19"/>
  <c r="AD7" i="19" s="1"/>
  <c r="AC7" i="19"/>
  <c r="AE7" i="19"/>
  <c r="L8" i="7"/>
  <c r="A8" i="7" s="1"/>
  <c r="G6" i="19"/>
  <c r="I6" i="19" s="1"/>
  <c r="H6" i="19"/>
  <c r="J6" i="19"/>
  <c r="N6" i="19"/>
  <c r="P6" i="19" s="1"/>
  <c r="O6" i="19"/>
  <c r="Q6" i="19"/>
  <c r="U6" i="19"/>
  <c r="W6" i="19" s="1"/>
  <c r="V6" i="19"/>
  <c r="X6" i="19"/>
  <c r="AB6" i="19"/>
  <c r="AD6" i="19" s="1"/>
  <c r="AC6" i="19"/>
  <c r="AE6" i="19"/>
  <c r="L7" i="7"/>
  <c r="A7" i="7" s="1"/>
  <c r="G5" i="19"/>
  <c r="I5" i="19" s="1"/>
  <c r="H5" i="19"/>
  <c r="J5" i="19"/>
  <c r="N5" i="19"/>
  <c r="P5" i="19" s="1"/>
  <c r="O5" i="19"/>
  <c r="Q5" i="19"/>
  <c r="U5" i="19"/>
  <c r="W5" i="19" s="1"/>
  <c r="V5" i="19"/>
  <c r="X5" i="19"/>
  <c r="AB5" i="19"/>
  <c r="AD5" i="19" s="1"/>
  <c r="AC5" i="19"/>
  <c r="AE5" i="19"/>
  <c r="G4" i="19"/>
  <c r="H4" i="19"/>
  <c r="H10" i="19" s="1"/>
  <c r="J4" i="19"/>
  <c r="J10" i="19" s="1"/>
  <c r="J16" i="19" s="1"/>
  <c r="N4" i="19"/>
  <c r="O4" i="19"/>
  <c r="O10" i="19" s="1"/>
  <c r="Q4" i="19"/>
  <c r="Q10" i="19" s="1"/>
  <c r="J17" i="19" s="1"/>
  <c r="U4" i="19"/>
  <c r="V4" i="19"/>
  <c r="V10" i="19" s="1"/>
  <c r="X4" i="19"/>
  <c r="X10" i="19" s="1"/>
  <c r="J18" i="19" s="1"/>
  <c r="AB4" i="19"/>
  <c r="AC4" i="19"/>
  <c r="AC10" i="19" s="1"/>
  <c r="AE4" i="19"/>
  <c r="AE10" i="19" s="1"/>
  <c r="J19" i="19" s="1"/>
  <c r="L11" i="6"/>
  <c r="A11" i="6" s="1"/>
  <c r="G9" i="20"/>
  <c r="I9" i="20" s="1"/>
  <c r="H9" i="20"/>
  <c r="J9" i="20"/>
  <c r="N9" i="20"/>
  <c r="P9" i="20" s="1"/>
  <c r="O9" i="20"/>
  <c r="Q9" i="20"/>
  <c r="U9" i="20"/>
  <c r="W9" i="20" s="1"/>
  <c r="V9" i="20"/>
  <c r="X9" i="20"/>
  <c r="AB9" i="20"/>
  <c r="AD9" i="20" s="1"/>
  <c r="AC9" i="20"/>
  <c r="AE9" i="20"/>
  <c r="L10" i="6"/>
  <c r="A10" i="6" s="1"/>
  <c r="G8" i="20"/>
  <c r="I8" i="20" s="1"/>
  <c r="H8" i="20"/>
  <c r="J8" i="20"/>
  <c r="N8" i="20"/>
  <c r="P8" i="20" s="1"/>
  <c r="O8" i="20"/>
  <c r="Q8" i="20"/>
  <c r="U8" i="20"/>
  <c r="W8" i="20" s="1"/>
  <c r="V8" i="20"/>
  <c r="X8" i="20"/>
  <c r="AB8" i="20"/>
  <c r="AD8" i="20" s="1"/>
  <c r="AC8" i="20"/>
  <c r="AE8" i="20"/>
  <c r="L9" i="6"/>
  <c r="A9" i="6" s="1"/>
  <c r="G7" i="20"/>
  <c r="I7" i="20" s="1"/>
  <c r="H7" i="20"/>
  <c r="J7" i="20"/>
  <c r="N7" i="20"/>
  <c r="P7" i="20" s="1"/>
  <c r="O7" i="20"/>
  <c r="Q7" i="20"/>
  <c r="U7" i="20"/>
  <c r="W7" i="20" s="1"/>
  <c r="V7" i="20"/>
  <c r="X7" i="20"/>
  <c r="AB7" i="20"/>
  <c r="AD7" i="20" s="1"/>
  <c r="AC7" i="20"/>
  <c r="AE7" i="20"/>
  <c r="L8" i="6"/>
  <c r="A8" i="6" s="1"/>
  <c r="G6" i="20"/>
  <c r="I6" i="20" s="1"/>
  <c r="H6" i="20"/>
  <c r="J6" i="20"/>
  <c r="N6" i="20"/>
  <c r="P6" i="20" s="1"/>
  <c r="O6" i="20"/>
  <c r="Q6" i="20"/>
  <c r="U6" i="20"/>
  <c r="W6" i="20" s="1"/>
  <c r="V6" i="20"/>
  <c r="X6" i="20"/>
  <c r="AB6" i="20"/>
  <c r="AD6" i="20" s="1"/>
  <c r="AC6" i="20"/>
  <c r="AE6" i="20"/>
  <c r="L7" i="6"/>
  <c r="A7" i="6" s="1"/>
  <c r="G5" i="20"/>
  <c r="I5" i="20" s="1"/>
  <c r="H5" i="20"/>
  <c r="J5" i="20"/>
  <c r="N5" i="20"/>
  <c r="P5" i="20" s="1"/>
  <c r="O5" i="20"/>
  <c r="Q5" i="20"/>
  <c r="U5" i="20"/>
  <c r="W5" i="20" s="1"/>
  <c r="V5" i="20"/>
  <c r="X5" i="20"/>
  <c r="AB5" i="20"/>
  <c r="AD5" i="20" s="1"/>
  <c r="AC5" i="20"/>
  <c r="AE5" i="20"/>
  <c r="G4" i="20"/>
  <c r="H4" i="20"/>
  <c r="H10" i="20" s="1"/>
  <c r="J4" i="20"/>
  <c r="J10" i="20" s="1"/>
  <c r="J16" i="20" s="1"/>
  <c r="N4" i="20"/>
  <c r="O4" i="20"/>
  <c r="O10" i="20" s="1"/>
  <c r="Q4" i="20"/>
  <c r="Q10" i="20" s="1"/>
  <c r="J17" i="20" s="1"/>
  <c r="U4" i="20"/>
  <c r="V4" i="20"/>
  <c r="V10" i="20" s="1"/>
  <c r="X4" i="20"/>
  <c r="X10" i="20" s="1"/>
  <c r="J18" i="20" s="1"/>
  <c r="AB4" i="20"/>
  <c r="AC4" i="20"/>
  <c r="AC10" i="20" s="1"/>
  <c r="AE4" i="20"/>
  <c r="AE10" i="20" s="1"/>
  <c r="J19" i="20" s="1"/>
  <c r="L11" i="5"/>
  <c r="A11" i="5" s="1"/>
  <c r="G9" i="21"/>
  <c r="I9" i="21" s="1"/>
  <c r="H9" i="21"/>
  <c r="J9" i="21"/>
  <c r="N9" i="21"/>
  <c r="P9" i="21" s="1"/>
  <c r="O9" i="21"/>
  <c r="Q9" i="21"/>
  <c r="U9" i="21"/>
  <c r="W9" i="21" s="1"/>
  <c r="V9" i="21"/>
  <c r="X9" i="21"/>
  <c r="AB9" i="21"/>
  <c r="AD9" i="21" s="1"/>
  <c r="AC9" i="21"/>
  <c r="AE9" i="21"/>
  <c r="L10" i="5"/>
  <c r="A10" i="5" s="1"/>
  <c r="G8" i="21"/>
  <c r="I8" i="21" s="1"/>
  <c r="H8" i="21"/>
  <c r="J8" i="21"/>
  <c r="N8" i="21"/>
  <c r="P8" i="21" s="1"/>
  <c r="O8" i="21"/>
  <c r="Q8" i="21"/>
  <c r="U8" i="21"/>
  <c r="W8" i="21" s="1"/>
  <c r="V8" i="21"/>
  <c r="X8" i="21"/>
  <c r="AB8" i="21"/>
  <c r="AD8" i="21" s="1"/>
  <c r="AC8" i="21"/>
  <c r="AE8" i="21"/>
  <c r="L9" i="5"/>
  <c r="A9" i="5" s="1"/>
  <c r="G7" i="21"/>
  <c r="I7" i="21" s="1"/>
  <c r="H7" i="21"/>
  <c r="J7" i="21"/>
  <c r="N7" i="21"/>
  <c r="P7" i="21" s="1"/>
  <c r="O7" i="21"/>
  <c r="Q7" i="21"/>
  <c r="U7" i="21"/>
  <c r="W7" i="21" s="1"/>
  <c r="V7" i="21"/>
  <c r="X7" i="21"/>
  <c r="AB7" i="21"/>
  <c r="AD7" i="21" s="1"/>
  <c r="AC7" i="21"/>
  <c r="AE7" i="21"/>
  <c r="L8" i="5"/>
  <c r="A8" i="5" s="1"/>
  <c r="G6" i="21"/>
  <c r="I6" i="21" s="1"/>
  <c r="H6" i="21"/>
  <c r="J6" i="21"/>
  <c r="N6" i="21"/>
  <c r="P6" i="21" s="1"/>
  <c r="O6" i="21"/>
  <c r="Q6" i="21"/>
  <c r="U6" i="21"/>
  <c r="W6" i="21" s="1"/>
  <c r="V6" i="21"/>
  <c r="X6" i="21"/>
  <c r="AB6" i="21"/>
  <c r="AD6" i="21" s="1"/>
  <c r="AC6" i="21"/>
  <c r="AE6" i="21"/>
  <c r="L7" i="5"/>
  <c r="A7" i="5" s="1"/>
  <c r="G5" i="21"/>
  <c r="I5" i="21" s="1"/>
  <c r="H5" i="21"/>
  <c r="J5" i="21"/>
  <c r="N5" i="21"/>
  <c r="P5" i="21" s="1"/>
  <c r="O5" i="21"/>
  <c r="Q5" i="21"/>
  <c r="U5" i="21"/>
  <c r="W5" i="21" s="1"/>
  <c r="V5" i="21"/>
  <c r="X5" i="21"/>
  <c r="AB5" i="21"/>
  <c r="AD5" i="21" s="1"/>
  <c r="AC5" i="21"/>
  <c r="AE5" i="21"/>
  <c r="G4" i="21"/>
  <c r="H4" i="21"/>
  <c r="H10" i="21" s="1"/>
  <c r="J4" i="21"/>
  <c r="J10" i="21" s="1"/>
  <c r="J16" i="21" s="1"/>
  <c r="N4" i="21"/>
  <c r="O4" i="21"/>
  <c r="O10" i="21" s="1"/>
  <c r="Q4" i="21"/>
  <c r="Q10" i="21" s="1"/>
  <c r="J17" i="21" s="1"/>
  <c r="U4" i="21"/>
  <c r="V4" i="21"/>
  <c r="V10" i="21" s="1"/>
  <c r="X4" i="21"/>
  <c r="X10" i="21" s="1"/>
  <c r="J18" i="21" s="1"/>
  <c r="AB4" i="21"/>
  <c r="AC4" i="21"/>
  <c r="AC10" i="21" s="1"/>
  <c r="AE4" i="21"/>
  <c r="AE10" i="21" s="1"/>
  <c r="J19" i="21" s="1"/>
  <c r="L11" i="4"/>
  <c r="A11" i="4" s="1"/>
  <c r="G9" i="23"/>
  <c r="I9" i="23" s="1"/>
  <c r="H9" i="23"/>
  <c r="J9" i="23"/>
  <c r="K9" i="23"/>
  <c r="L9" i="23"/>
  <c r="N9" i="23"/>
  <c r="P9" i="23" s="1"/>
  <c r="O9" i="23"/>
  <c r="Q9" i="23"/>
  <c r="R9" i="23"/>
  <c r="S9" i="23"/>
  <c r="U9" i="23"/>
  <c r="W9" i="23" s="1"/>
  <c r="V9" i="23"/>
  <c r="X9" i="23"/>
  <c r="Y9" i="23"/>
  <c r="Z9" i="23"/>
  <c r="AB9" i="23"/>
  <c r="AD9" i="23" s="1"/>
  <c r="AC9" i="23"/>
  <c r="AE9" i="23"/>
  <c r="AF9" i="23"/>
  <c r="AG9" i="23"/>
  <c r="L10" i="4"/>
  <c r="A10" i="4" s="1"/>
  <c r="G8" i="23"/>
  <c r="I8" i="23" s="1"/>
  <c r="H8" i="23"/>
  <c r="J8" i="23"/>
  <c r="K8" i="23"/>
  <c r="L8" i="23"/>
  <c r="N8" i="23"/>
  <c r="P8" i="23" s="1"/>
  <c r="O8" i="23"/>
  <c r="Q8" i="23"/>
  <c r="R8" i="23"/>
  <c r="S8" i="23"/>
  <c r="U8" i="23"/>
  <c r="W8" i="23" s="1"/>
  <c r="V8" i="23"/>
  <c r="X8" i="23"/>
  <c r="Y8" i="23"/>
  <c r="Z8" i="23"/>
  <c r="AB8" i="23"/>
  <c r="AD8" i="23" s="1"/>
  <c r="AC8" i="23"/>
  <c r="AE8" i="23"/>
  <c r="AF8" i="23"/>
  <c r="AG8" i="23"/>
  <c r="L9" i="4"/>
  <c r="A9" i="4" s="1"/>
  <c r="G7" i="23"/>
  <c r="I7" i="23" s="1"/>
  <c r="H7" i="23"/>
  <c r="J7" i="23"/>
  <c r="K7" i="23"/>
  <c r="L7" i="23"/>
  <c r="N7" i="23"/>
  <c r="P7" i="23" s="1"/>
  <c r="O7" i="23"/>
  <c r="Q7" i="23"/>
  <c r="R7" i="23"/>
  <c r="S7" i="23"/>
  <c r="U7" i="23"/>
  <c r="W7" i="23" s="1"/>
  <c r="V7" i="23"/>
  <c r="X7" i="23"/>
  <c r="Y7" i="23"/>
  <c r="Z7" i="23"/>
  <c r="AB7" i="23"/>
  <c r="AD7" i="23" s="1"/>
  <c r="AC7" i="23"/>
  <c r="AE7" i="23"/>
  <c r="AF7" i="23"/>
  <c r="AG7" i="23"/>
  <c r="L8" i="4"/>
  <c r="A8" i="4" s="1"/>
  <c r="G6" i="23"/>
  <c r="I6" i="23" s="1"/>
  <c r="H6" i="23"/>
  <c r="J6" i="23"/>
  <c r="K6" i="23"/>
  <c r="L6" i="23"/>
  <c r="N6" i="23"/>
  <c r="P6" i="23" s="1"/>
  <c r="O6" i="23"/>
  <c r="Q6" i="23"/>
  <c r="R6" i="23"/>
  <c r="S6" i="23"/>
  <c r="U6" i="23"/>
  <c r="W6" i="23" s="1"/>
  <c r="V6" i="23"/>
  <c r="X6" i="23"/>
  <c r="Y6" i="23"/>
  <c r="Z6" i="23"/>
  <c r="AB6" i="23"/>
  <c r="AD6" i="23" s="1"/>
  <c r="AC6" i="23"/>
  <c r="AE6" i="23"/>
  <c r="AF6" i="23"/>
  <c r="AG6" i="23"/>
  <c r="L7" i="4"/>
  <c r="A7" i="4" s="1"/>
  <c r="G5" i="23"/>
  <c r="I5" i="23" s="1"/>
  <c r="H5" i="23"/>
  <c r="J5" i="23"/>
  <c r="K5" i="23"/>
  <c r="L5" i="23"/>
  <c r="N5" i="23"/>
  <c r="P5" i="23" s="1"/>
  <c r="O5" i="23"/>
  <c r="Q5" i="23"/>
  <c r="R5" i="23"/>
  <c r="S5" i="23"/>
  <c r="U5" i="23"/>
  <c r="W5" i="23" s="1"/>
  <c r="V5" i="23"/>
  <c r="X5" i="23"/>
  <c r="Y5" i="23"/>
  <c r="Z5" i="23"/>
  <c r="AB5" i="23"/>
  <c r="AD5" i="23" s="1"/>
  <c r="AC5" i="23"/>
  <c r="AE5" i="23"/>
  <c r="AF5" i="23"/>
  <c r="AG5" i="23"/>
  <c r="G4" i="23"/>
  <c r="H4" i="23"/>
  <c r="H10" i="23" s="1"/>
  <c r="J4" i="23"/>
  <c r="J10" i="23" s="1"/>
  <c r="J16" i="23" s="1"/>
  <c r="K4" i="23"/>
  <c r="K10" i="23" s="1"/>
  <c r="K16" i="23" s="1"/>
  <c r="L4" i="23"/>
  <c r="L10" i="23" s="1"/>
  <c r="L16" i="23" s="1"/>
  <c r="N4" i="23"/>
  <c r="O4" i="23"/>
  <c r="O10" i="23" s="1"/>
  <c r="Q4" i="23"/>
  <c r="Q10" i="23" s="1"/>
  <c r="J17" i="23" s="1"/>
  <c r="R4" i="23"/>
  <c r="R10" i="23" s="1"/>
  <c r="K17" i="23" s="1"/>
  <c r="S4" i="23"/>
  <c r="S10" i="23" s="1"/>
  <c r="L17" i="23" s="1"/>
  <c r="U4" i="23"/>
  <c r="V4" i="23"/>
  <c r="V10" i="23" s="1"/>
  <c r="X4" i="23"/>
  <c r="X10" i="23" s="1"/>
  <c r="J18" i="23" s="1"/>
  <c r="Y4" i="23"/>
  <c r="Y10" i="23" s="1"/>
  <c r="K18" i="23" s="1"/>
  <c r="Z4" i="23"/>
  <c r="Z10" i="23" s="1"/>
  <c r="L18" i="23" s="1"/>
  <c r="AB4" i="23"/>
  <c r="AC4" i="23"/>
  <c r="AC10" i="23" s="1"/>
  <c r="AE4" i="23"/>
  <c r="AE10" i="23" s="1"/>
  <c r="J19" i="23" s="1"/>
  <c r="AF4" i="23"/>
  <c r="AF10" i="23" s="1"/>
  <c r="K19" i="23" s="1"/>
  <c r="AG4" i="23"/>
  <c r="AG10" i="23" s="1"/>
  <c r="L19" i="23" s="1"/>
  <c r="L11" i="3"/>
  <c r="A11" i="3" s="1"/>
  <c r="G9" i="22"/>
  <c r="I9" i="22" s="1"/>
  <c r="H9" i="22"/>
  <c r="J9" i="22"/>
  <c r="N9" i="22"/>
  <c r="P9" i="22" s="1"/>
  <c r="O9" i="22"/>
  <c r="Q9" i="22"/>
  <c r="U9" i="22"/>
  <c r="W9" i="22" s="1"/>
  <c r="V9" i="22"/>
  <c r="X9" i="22"/>
  <c r="AB9" i="22"/>
  <c r="AD9" i="22" s="1"/>
  <c r="AC9" i="22"/>
  <c r="AE9" i="22"/>
  <c r="L10" i="3"/>
  <c r="A10" i="3" s="1"/>
  <c r="G8" i="22"/>
  <c r="I8" i="22" s="1"/>
  <c r="H8" i="22"/>
  <c r="J8" i="22"/>
  <c r="N8" i="22"/>
  <c r="P8" i="22" s="1"/>
  <c r="O8" i="22"/>
  <c r="Q8" i="22"/>
  <c r="U8" i="22"/>
  <c r="W8" i="22" s="1"/>
  <c r="V8" i="22"/>
  <c r="X8" i="22"/>
  <c r="AB8" i="22"/>
  <c r="AD8" i="22" s="1"/>
  <c r="AC8" i="22"/>
  <c r="AE8" i="22"/>
  <c r="L9" i="3"/>
  <c r="A9" i="3" s="1"/>
  <c r="G7" i="22"/>
  <c r="I7" i="22" s="1"/>
  <c r="H7" i="22"/>
  <c r="J7" i="22"/>
  <c r="N7" i="22"/>
  <c r="P7" i="22" s="1"/>
  <c r="O7" i="22"/>
  <c r="Q7" i="22"/>
  <c r="U7" i="22"/>
  <c r="W7" i="22" s="1"/>
  <c r="V7" i="22"/>
  <c r="X7" i="22"/>
  <c r="AB7" i="22"/>
  <c r="AD7" i="22" s="1"/>
  <c r="AC7" i="22"/>
  <c r="AE7" i="22"/>
  <c r="L8" i="3"/>
  <c r="A8" i="3" s="1"/>
  <c r="G6" i="22"/>
  <c r="I6" i="22" s="1"/>
  <c r="H6" i="22"/>
  <c r="J6" i="22"/>
  <c r="N6" i="22"/>
  <c r="P6" i="22" s="1"/>
  <c r="O6" i="22"/>
  <c r="Q6" i="22"/>
  <c r="U6" i="22"/>
  <c r="W6" i="22" s="1"/>
  <c r="V6" i="22"/>
  <c r="X6" i="22"/>
  <c r="AB6" i="22"/>
  <c r="AD6" i="22" s="1"/>
  <c r="AC6" i="22"/>
  <c r="AE6" i="22"/>
  <c r="L7" i="3"/>
  <c r="A7" i="3" s="1"/>
  <c r="G5" i="22"/>
  <c r="I5" i="22" s="1"/>
  <c r="H5" i="22"/>
  <c r="J5" i="22"/>
  <c r="N5" i="22"/>
  <c r="P5" i="22" s="1"/>
  <c r="O5" i="22"/>
  <c r="Q5" i="22"/>
  <c r="U5" i="22"/>
  <c r="W5" i="22" s="1"/>
  <c r="V5" i="22"/>
  <c r="X5" i="22"/>
  <c r="AB5" i="22"/>
  <c r="AD5" i="22" s="1"/>
  <c r="AC5" i="22"/>
  <c r="AE5" i="22"/>
  <c r="G4" i="22"/>
  <c r="H4" i="22"/>
  <c r="H10" i="22" s="1"/>
  <c r="J4" i="22"/>
  <c r="J10" i="22" s="1"/>
  <c r="J16" i="22" s="1"/>
  <c r="N4" i="22"/>
  <c r="O4" i="22"/>
  <c r="O10" i="22" s="1"/>
  <c r="Q4" i="22"/>
  <c r="Q10" i="22" s="1"/>
  <c r="J17" i="22" s="1"/>
  <c r="U4" i="22"/>
  <c r="V4" i="22"/>
  <c r="V10" i="22" s="1"/>
  <c r="X4" i="22"/>
  <c r="X10" i="22" s="1"/>
  <c r="J18" i="22" s="1"/>
  <c r="AB4" i="22"/>
  <c r="AC4" i="22"/>
  <c r="AC10" i="22" s="1"/>
  <c r="AE4" i="22"/>
  <c r="AE10" i="22" s="1"/>
  <c r="J19" i="22" s="1"/>
  <c r="H19" i="22" l="1"/>
  <c r="AD4" i="22"/>
  <c r="AD10" i="22" s="1"/>
  <c r="I19" i="22" s="1"/>
  <c r="AB10" i="22"/>
  <c r="G19" i="22" s="1"/>
  <c r="H18" i="22"/>
  <c r="W4" i="22"/>
  <c r="W10" i="22" s="1"/>
  <c r="I18" i="22" s="1"/>
  <c r="U10" i="22"/>
  <c r="G18" i="22" s="1"/>
  <c r="H17" i="22"/>
  <c r="P4" i="22"/>
  <c r="P10" i="22" s="1"/>
  <c r="I17" i="22" s="1"/>
  <c r="N10" i="22"/>
  <c r="G17" i="22" s="1"/>
  <c r="H16" i="22"/>
  <c r="I4" i="22"/>
  <c r="I10" i="22" s="1"/>
  <c r="I16" i="22" s="1"/>
  <c r="G10" i="22"/>
  <c r="G16" i="22" s="1"/>
  <c r="H19" i="23"/>
  <c r="AD4" i="23"/>
  <c r="AD10" i="23" s="1"/>
  <c r="I19" i="23" s="1"/>
  <c r="AB10" i="23"/>
  <c r="G19" i="23" s="1"/>
  <c r="H18" i="23"/>
  <c r="W4" i="23"/>
  <c r="W10" i="23" s="1"/>
  <c r="I18" i="23" s="1"/>
  <c r="U10" i="23"/>
  <c r="G18" i="23" s="1"/>
  <c r="H17" i="23"/>
  <c r="P4" i="23"/>
  <c r="P10" i="23" s="1"/>
  <c r="I17" i="23" s="1"/>
  <c r="N10" i="23"/>
  <c r="G17" i="23" s="1"/>
  <c r="H16" i="23"/>
  <c r="I4" i="23"/>
  <c r="I10" i="23" s="1"/>
  <c r="I16" i="23" s="1"/>
  <c r="G10" i="23"/>
  <c r="G16" i="23" s="1"/>
  <c r="H19" i="21"/>
  <c r="AD4" i="21"/>
  <c r="AD10" i="21" s="1"/>
  <c r="I19" i="21" s="1"/>
  <c r="AB10" i="21"/>
  <c r="G19" i="21" s="1"/>
  <c r="H18" i="21"/>
  <c r="W4" i="21"/>
  <c r="W10" i="21" s="1"/>
  <c r="I18" i="21" s="1"/>
  <c r="U10" i="21"/>
  <c r="G18" i="21" s="1"/>
  <c r="H17" i="21"/>
  <c r="P4" i="21"/>
  <c r="P10" i="21" s="1"/>
  <c r="I17" i="21" s="1"/>
  <c r="N10" i="21"/>
  <c r="G17" i="21" s="1"/>
  <c r="H16" i="21"/>
  <c r="I4" i="21"/>
  <c r="I10" i="21" s="1"/>
  <c r="I16" i="21" s="1"/>
  <c r="G10" i="21"/>
  <c r="G16" i="21" s="1"/>
  <c r="H19" i="20"/>
  <c r="AD4" i="20"/>
  <c r="AD10" i="20" s="1"/>
  <c r="I19" i="20" s="1"/>
  <c r="AB10" i="20"/>
  <c r="G19" i="20" s="1"/>
  <c r="H18" i="20"/>
  <c r="W4" i="20"/>
  <c r="W10" i="20" s="1"/>
  <c r="I18" i="20" s="1"/>
  <c r="U10" i="20"/>
  <c r="G18" i="20" s="1"/>
  <c r="H17" i="20"/>
  <c r="P4" i="20"/>
  <c r="P10" i="20" s="1"/>
  <c r="I17" i="20" s="1"/>
  <c r="N10" i="20"/>
  <c r="G17" i="20" s="1"/>
  <c r="H16" i="20"/>
  <c r="I4" i="20"/>
  <c r="I10" i="20" s="1"/>
  <c r="I16" i="20" s="1"/>
  <c r="G10" i="20"/>
  <c r="G16" i="20" s="1"/>
  <c r="H19" i="19"/>
  <c r="AD4" i="19"/>
  <c r="AD10" i="19" s="1"/>
  <c r="I19" i="19" s="1"/>
  <c r="AB10" i="19"/>
  <c r="G19" i="19" s="1"/>
  <c r="H18" i="19"/>
  <c r="W4" i="19"/>
  <c r="W10" i="19" s="1"/>
  <c r="I18" i="19" s="1"/>
  <c r="U10" i="19"/>
  <c r="G18" i="19" s="1"/>
  <c r="H17" i="19"/>
  <c r="P4" i="19"/>
  <c r="P10" i="19" s="1"/>
  <c r="I17" i="19" s="1"/>
  <c r="N10" i="19"/>
  <c r="G17" i="19" s="1"/>
  <c r="H16" i="19"/>
  <c r="I4" i="19"/>
  <c r="I10" i="19" s="1"/>
  <c r="I16" i="19" s="1"/>
  <c r="G10" i="19"/>
  <c r="G16" i="19" s="1"/>
  <c r="H19" i="18"/>
  <c r="AD4" i="18"/>
  <c r="AD10" i="18" s="1"/>
  <c r="I19" i="18" s="1"/>
  <c r="AB10" i="18"/>
  <c r="G19" i="18" s="1"/>
  <c r="H18" i="18"/>
  <c r="W4" i="18"/>
  <c r="W10" i="18" s="1"/>
  <c r="I18" i="18" s="1"/>
  <c r="U10" i="18"/>
  <c r="G18" i="18" s="1"/>
  <c r="H17" i="18"/>
  <c r="P4" i="18"/>
  <c r="P10" i="18" s="1"/>
  <c r="I17" i="18" s="1"/>
  <c r="N10" i="18"/>
  <c r="G17" i="18" s="1"/>
  <c r="H16" i="18"/>
  <c r="I4" i="18"/>
  <c r="I10" i="18" s="1"/>
  <c r="I16" i="18" s="1"/>
  <c r="G10" i="18"/>
  <c r="G16" i="18" s="1"/>
  <c r="H19" i="17"/>
  <c r="AD4" i="17"/>
  <c r="AD10" i="17" s="1"/>
  <c r="I19" i="17" s="1"/>
  <c r="AB10" i="17"/>
  <c r="G19" i="17" s="1"/>
  <c r="H18" i="17"/>
  <c r="W4" i="17"/>
  <c r="W10" i="17" s="1"/>
  <c r="I18" i="17" s="1"/>
  <c r="U10" i="17"/>
  <c r="G18" i="17" s="1"/>
  <c r="H17" i="17"/>
  <c r="P4" i="17"/>
  <c r="P10" i="17" s="1"/>
  <c r="I17" i="17" s="1"/>
  <c r="N10" i="17"/>
  <c r="G17" i="17" s="1"/>
  <c r="H16" i="17"/>
  <c r="I4" i="17"/>
  <c r="I10" i="17" s="1"/>
  <c r="I16" i="17" s="1"/>
  <c r="G10" i="17"/>
  <c r="G16" i="17" s="1"/>
  <c r="H19" i="16"/>
  <c r="AD4" i="16"/>
  <c r="AD10" i="16" s="1"/>
  <c r="I19" i="16" s="1"/>
  <c r="AB10" i="16"/>
  <c r="G19" i="16" s="1"/>
  <c r="H18" i="16"/>
  <c r="W4" i="16"/>
  <c r="W10" i="16" s="1"/>
  <c r="I18" i="16" s="1"/>
  <c r="U10" i="16"/>
  <c r="G18" i="16" s="1"/>
  <c r="H17" i="16"/>
  <c r="P4" i="16"/>
  <c r="P10" i="16" s="1"/>
  <c r="I17" i="16" s="1"/>
  <c r="N10" i="16"/>
  <c r="G17" i="16" s="1"/>
  <c r="H16" i="16"/>
  <c r="I4" i="16"/>
  <c r="I10" i="16" s="1"/>
  <c r="I16" i="16" s="1"/>
  <c r="G10" i="16"/>
  <c r="G16" i="16" s="1"/>
  <c r="M10" i="16" l="1"/>
  <c r="M16" i="16" s="1"/>
  <c r="T10" i="16"/>
  <c r="M17" i="16" s="1"/>
  <c r="O17" i="16" s="1"/>
  <c r="AA10" i="16"/>
  <c r="M18" i="16" s="1"/>
  <c r="P18" i="16" s="1"/>
  <c r="AH10" i="16"/>
  <c r="M19" i="16" s="1"/>
  <c r="P19" i="16" s="1"/>
  <c r="M10" i="17"/>
  <c r="M16" i="17" s="1"/>
  <c r="T10" i="17"/>
  <c r="M17" i="17" s="1"/>
  <c r="O17" i="17" s="1"/>
  <c r="AA10" i="17"/>
  <c r="M18" i="17" s="1"/>
  <c r="P18" i="17" s="1"/>
  <c r="AH10" i="17"/>
  <c r="M19" i="17" s="1"/>
  <c r="P19" i="17" s="1"/>
  <c r="M10" i="18"/>
  <c r="M16" i="18" s="1"/>
  <c r="T10" i="18"/>
  <c r="M17" i="18" s="1"/>
  <c r="O17" i="18" s="1"/>
  <c r="AA10" i="18"/>
  <c r="M18" i="18" s="1"/>
  <c r="P18" i="18" s="1"/>
  <c r="AH10" i="18"/>
  <c r="M19" i="18" s="1"/>
  <c r="P19" i="18" s="1"/>
  <c r="M10" i="19"/>
  <c r="M16" i="19" s="1"/>
  <c r="T10" i="19"/>
  <c r="M17" i="19" s="1"/>
  <c r="O17" i="19" s="1"/>
  <c r="AA10" i="19"/>
  <c r="M18" i="19" s="1"/>
  <c r="P18" i="19" s="1"/>
  <c r="AH10" i="19"/>
  <c r="M19" i="19" s="1"/>
  <c r="P19" i="19" s="1"/>
  <c r="M10" i="20"/>
  <c r="M16" i="20" s="1"/>
  <c r="T10" i="20"/>
  <c r="M17" i="20" s="1"/>
  <c r="O17" i="20" s="1"/>
  <c r="AA10" i="20"/>
  <c r="M18" i="20" s="1"/>
  <c r="P18" i="20" s="1"/>
  <c r="AH10" i="20"/>
  <c r="M19" i="20" s="1"/>
  <c r="P19" i="20" s="1"/>
  <c r="M10" i="21"/>
  <c r="M16" i="21" s="1"/>
  <c r="T10" i="21"/>
  <c r="M17" i="21" s="1"/>
  <c r="O17" i="21" s="1"/>
  <c r="AA10" i="21"/>
  <c r="M18" i="21" s="1"/>
  <c r="P18" i="21" s="1"/>
  <c r="AH10" i="21"/>
  <c r="M19" i="21" s="1"/>
  <c r="P19" i="21" s="1"/>
  <c r="M10" i="23"/>
  <c r="M16" i="23" s="1"/>
  <c r="T10" i="23"/>
  <c r="M17" i="23" s="1"/>
  <c r="O17" i="23" s="1"/>
  <c r="AA10" i="23"/>
  <c r="M18" i="23" s="1"/>
  <c r="P18" i="23" s="1"/>
  <c r="AH10" i="23"/>
  <c r="M19" i="23" s="1"/>
  <c r="P19" i="23" s="1"/>
  <c r="M10" i="22"/>
  <c r="M16" i="22" s="1"/>
  <c r="T10" i="22"/>
  <c r="M17" i="22" s="1"/>
  <c r="O17" i="22" s="1"/>
  <c r="AA10" i="22"/>
  <c r="M18" i="22" s="1"/>
  <c r="P18" i="22" s="1"/>
  <c r="AH10" i="22"/>
  <c r="M19" i="22" s="1"/>
  <c r="P19" i="22" s="1"/>
  <c r="P17" i="22" l="1"/>
  <c r="S17" i="22"/>
  <c r="O16" i="22"/>
  <c r="P17" i="23"/>
  <c r="S17" i="23"/>
  <c r="O16" i="23"/>
  <c r="P17" i="21"/>
  <c r="S17" i="21"/>
  <c r="O16" i="21"/>
  <c r="P17" i="20"/>
  <c r="S17" i="20"/>
  <c r="O16" i="20"/>
  <c r="P17" i="19"/>
  <c r="S17" i="19"/>
  <c r="O16" i="19"/>
  <c r="P17" i="18"/>
  <c r="S17" i="18"/>
  <c r="O16" i="18"/>
  <c r="P17" i="17"/>
  <c r="S17" i="17"/>
  <c r="O16" i="17"/>
  <c r="P17" i="16"/>
  <c r="S17" i="16"/>
  <c r="O16" i="16"/>
  <c r="P16" i="16" l="1"/>
  <c r="T19" i="16"/>
  <c r="T17" i="16"/>
  <c r="W17" i="16"/>
  <c r="P16" i="17"/>
  <c r="T19" i="17"/>
  <c r="T17" i="17"/>
  <c r="W17" i="17"/>
  <c r="P16" i="18"/>
  <c r="T19" i="18"/>
  <c r="T17" i="18"/>
  <c r="W17" i="18"/>
  <c r="P16" i="19"/>
  <c r="T19" i="19"/>
  <c r="T17" i="19"/>
  <c r="W17" i="19"/>
  <c r="P16" i="20"/>
  <c r="T19" i="20"/>
  <c r="T17" i="20"/>
  <c r="W17" i="20"/>
  <c r="P16" i="21"/>
  <c r="T19" i="21"/>
  <c r="T17" i="21"/>
  <c r="W17" i="21"/>
  <c r="P16" i="23"/>
  <c r="T19" i="23"/>
  <c r="T17" i="23"/>
  <c r="W17" i="23"/>
  <c r="P16" i="22"/>
  <c r="T19" i="22"/>
  <c r="T17" i="22"/>
  <c r="W17" i="22"/>
  <c r="S16" i="22" l="1"/>
  <c r="T16" i="22" s="1"/>
  <c r="W16" i="22" s="1"/>
  <c r="S18" i="22"/>
  <c r="S16" i="23"/>
  <c r="T16" i="23" s="1"/>
  <c r="W16" i="23" s="1"/>
  <c r="S18" i="23"/>
  <c r="S16" i="21"/>
  <c r="T16" i="21" s="1"/>
  <c r="W16" i="21" s="1"/>
  <c r="S18" i="21"/>
  <c r="S16" i="20"/>
  <c r="T16" i="20" s="1"/>
  <c r="W16" i="20" s="1"/>
  <c r="S18" i="20"/>
  <c r="S16" i="19"/>
  <c r="T16" i="19" s="1"/>
  <c r="W16" i="19" s="1"/>
  <c r="S18" i="19"/>
  <c r="S16" i="18"/>
  <c r="T16" i="18" s="1"/>
  <c r="W16" i="18" s="1"/>
  <c r="S18" i="18"/>
  <c r="S16" i="17"/>
  <c r="T16" i="17" s="1"/>
  <c r="W16" i="17" s="1"/>
  <c r="S18" i="17"/>
  <c r="S16" i="16"/>
  <c r="T16" i="16" s="1"/>
  <c r="W16" i="16" s="1"/>
  <c r="S18" i="16"/>
  <c r="T18" i="16" l="1"/>
  <c r="W18" i="16"/>
  <c r="X18" i="16" s="1"/>
  <c r="X16" i="16"/>
  <c r="AA16" i="16"/>
  <c r="W19" i="16"/>
  <c r="X17" i="16"/>
  <c r="AA17" i="16" s="1"/>
  <c r="AB17" i="16" s="1"/>
  <c r="T18" i="17"/>
  <c r="W18" i="17"/>
  <c r="X18" i="17" s="1"/>
  <c r="X16" i="17"/>
  <c r="AA16" i="17"/>
  <c r="W19" i="17"/>
  <c r="X17" i="17"/>
  <c r="AA17" i="17" s="1"/>
  <c r="AB17" i="17" s="1"/>
  <c r="T18" i="18"/>
  <c r="W18" i="18"/>
  <c r="X18" i="18" s="1"/>
  <c r="X16" i="18"/>
  <c r="AA16" i="18"/>
  <c r="W19" i="18"/>
  <c r="X17" i="18"/>
  <c r="AA17" i="18" s="1"/>
  <c r="AB17" i="18" s="1"/>
  <c r="T18" i="19"/>
  <c r="W18" i="19"/>
  <c r="X18" i="19" s="1"/>
  <c r="X16" i="19"/>
  <c r="AA16" i="19"/>
  <c r="W19" i="19"/>
  <c r="X17" i="19"/>
  <c r="AA17" i="19" s="1"/>
  <c r="AB17" i="19" s="1"/>
  <c r="T18" i="20"/>
  <c r="W18" i="20"/>
  <c r="X18" i="20" s="1"/>
  <c r="X16" i="20"/>
  <c r="AA16" i="20"/>
  <c r="W19" i="20"/>
  <c r="X17" i="20"/>
  <c r="AA17" i="20" s="1"/>
  <c r="AB17" i="20" s="1"/>
  <c r="T18" i="21"/>
  <c r="W18" i="21"/>
  <c r="X18" i="21" s="1"/>
  <c r="X16" i="21"/>
  <c r="AA16" i="21"/>
  <c r="W19" i="21"/>
  <c r="X17" i="21"/>
  <c r="AA17" i="21" s="1"/>
  <c r="AB17" i="21" s="1"/>
  <c r="T18" i="23"/>
  <c r="W18" i="23"/>
  <c r="X18" i="23" s="1"/>
  <c r="X16" i="23"/>
  <c r="AA16" i="23"/>
  <c r="W19" i="23"/>
  <c r="X17" i="23"/>
  <c r="AA17" i="23" s="1"/>
  <c r="AB17" i="23" s="1"/>
  <c r="T18" i="22"/>
  <c r="W18" i="22"/>
  <c r="X18" i="22" s="1"/>
  <c r="X16" i="22"/>
  <c r="AA16" i="22"/>
  <c r="W19" i="22"/>
  <c r="X17" i="22"/>
  <c r="AA17" i="22" s="1"/>
  <c r="AB17" i="22" s="1"/>
  <c r="X19" i="22" l="1"/>
  <c r="AA19" i="22"/>
  <c r="AB19" i="22" s="1"/>
  <c r="AE19" i="22" s="1"/>
  <c r="AB16" i="22"/>
  <c r="AE16" i="22"/>
  <c r="AA18" i="22"/>
  <c r="X19" i="23"/>
  <c r="AA19" i="23"/>
  <c r="AB19" i="23" s="1"/>
  <c r="AE19" i="23" s="1"/>
  <c r="AF19" i="23" s="1"/>
  <c r="AB16" i="23"/>
  <c r="AE16" i="23"/>
  <c r="AA18" i="23"/>
  <c r="X19" i="21"/>
  <c r="AA19" i="21"/>
  <c r="AB19" i="21" s="1"/>
  <c r="AE19" i="21" s="1"/>
  <c r="AB16" i="21"/>
  <c r="AE16" i="21"/>
  <c r="AA18" i="21"/>
  <c r="X19" i="20"/>
  <c r="AA19" i="20"/>
  <c r="AB19" i="20" s="1"/>
  <c r="AE19" i="20" s="1"/>
  <c r="AB16" i="20"/>
  <c r="AE16" i="20"/>
  <c r="AA18" i="20"/>
  <c r="X19" i="19"/>
  <c r="AA19" i="19"/>
  <c r="AB19" i="19" s="1"/>
  <c r="AE19" i="19" s="1"/>
  <c r="AB16" i="19"/>
  <c r="AE16" i="19"/>
  <c r="AA18" i="19"/>
  <c r="X19" i="18"/>
  <c r="AA19" i="18"/>
  <c r="AB19" i="18" s="1"/>
  <c r="AE19" i="18" s="1"/>
  <c r="AB16" i="18"/>
  <c r="AE16" i="18"/>
  <c r="AA18" i="18"/>
  <c r="X19" i="17"/>
  <c r="AA19" i="17"/>
  <c r="AB19" i="17" s="1"/>
  <c r="AE19" i="17" s="1"/>
  <c r="AB16" i="17"/>
  <c r="AE16" i="17"/>
  <c r="AA18" i="17"/>
  <c r="X19" i="16"/>
  <c r="AA19" i="16"/>
  <c r="AB19" i="16" s="1"/>
  <c r="AE19" i="16" s="1"/>
  <c r="AB16" i="16"/>
  <c r="AE16" i="16"/>
  <c r="AA18" i="16"/>
  <c r="AB18" i="16" l="1"/>
  <c r="AE18" i="16"/>
  <c r="AF18" i="16" s="1"/>
  <c r="AF16" i="16"/>
  <c r="AI16" i="16"/>
  <c r="AF19" i="16"/>
  <c r="AI19" i="16" s="1"/>
  <c r="AE17" i="16"/>
  <c r="AB18" i="17"/>
  <c r="AE18" i="17"/>
  <c r="AF18" i="17" s="1"/>
  <c r="AF16" i="17"/>
  <c r="AI16" i="17"/>
  <c r="AF19" i="17"/>
  <c r="AI19" i="17" s="1"/>
  <c r="AE17" i="17"/>
  <c r="AB18" i="18"/>
  <c r="AE18" i="18"/>
  <c r="AF18" i="18" s="1"/>
  <c r="AF16" i="18"/>
  <c r="AI16" i="18"/>
  <c r="AF19" i="18"/>
  <c r="AI19" i="18" s="1"/>
  <c r="AE17" i="18"/>
  <c r="AB18" i="19"/>
  <c r="AE18" i="19"/>
  <c r="AF18" i="19" s="1"/>
  <c r="AF16" i="19"/>
  <c r="AI16" i="19"/>
  <c r="AF19" i="19"/>
  <c r="AI19" i="19" s="1"/>
  <c r="AE17" i="19"/>
  <c r="AB18" i="20"/>
  <c r="AE18" i="20"/>
  <c r="AF18" i="20" s="1"/>
  <c r="AF16" i="20"/>
  <c r="AI16" i="20"/>
  <c r="AF19" i="20"/>
  <c r="AI19" i="20" s="1"/>
  <c r="AE17" i="20"/>
  <c r="AB18" i="21"/>
  <c r="AE18" i="21"/>
  <c r="AF18" i="21" s="1"/>
  <c r="AF16" i="21"/>
  <c r="AI16" i="21"/>
  <c r="AF19" i="21"/>
  <c r="AI19" i="21" s="1"/>
  <c r="AE17" i="21"/>
  <c r="AB18" i="23"/>
  <c r="AE18" i="23"/>
  <c r="AF18" i="23" s="1"/>
  <c r="AI18" i="23" s="1"/>
  <c r="AF16" i="23"/>
  <c r="AI16" i="23"/>
  <c r="AI19" i="23"/>
  <c r="AE17" i="23"/>
  <c r="AB18" i="22"/>
  <c r="AE18" i="22"/>
  <c r="AF18" i="22" s="1"/>
  <c r="AF16" i="22"/>
  <c r="AI16" i="22"/>
  <c r="AF19" i="22"/>
  <c r="AI19" i="22" s="1"/>
  <c r="AE17" i="22"/>
  <c r="AF17" i="22" l="1"/>
  <c r="AI17" i="22"/>
  <c r="AJ19" i="22"/>
  <c r="J31" i="22" s="1"/>
  <c r="F31" i="22"/>
  <c r="O31" i="22" s="1"/>
  <c r="K31" i="22"/>
  <c r="L31" i="22"/>
  <c r="AJ16" i="22"/>
  <c r="J28" i="22" s="1"/>
  <c r="F28" i="22"/>
  <c r="K28" i="22"/>
  <c r="L28" i="22"/>
  <c r="AI18" i="22"/>
  <c r="AF17" i="23"/>
  <c r="AI17" i="23"/>
  <c r="AJ19" i="23"/>
  <c r="J31" i="23" s="1"/>
  <c r="F31" i="23"/>
  <c r="O31" i="23" s="1"/>
  <c r="K31" i="23"/>
  <c r="L31" i="23"/>
  <c r="AJ16" i="23"/>
  <c r="J28" i="23" s="1"/>
  <c r="F28" i="23"/>
  <c r="K28" i="23"/>
  <c r="L28" i="23"/>
  <c r="AJ18" i="23"/>
  <c r="J30" i="23" s="1"/>
  <c r="F30" i="23"/>
  <c r="O30" i="23" s="1"/>
  <c r="K30" i="23"/>
  <c r="L30" i="23"/>
  <c r="AF17" i="21"/>
  <c r="AI17" i="21"/>
  <c r="AJ19" i="21"/>
  <c r="J31" i="21" s="1"/>
  <c r="F31" i="21"/>
  <c r="O31" i="21" s="1"/>
  <c r="K31" i="21"/>
  <c r="L31" i="21"/>
  <c r="AJ16" i="21"/>
  <c r="J28" i="21" s="1"/>
  <c r="F28" i="21"/>
  <c r="K28" i="21"/>
  <c r="L28" i="21"/>
  <c r="AI18" i="21"/>
  <c r="AF17" i="20"/>
  <c r="AI17" i="20"/>
  <c r="AJ19" i="20"/>
  <c r="J31" i="20" s="1"/>
  <c r="F31" i="20"/>
  <c r="O31" i="20" s="1"/>
  <c r="K31" i="20"/>
  <c r="L31" i="20"/>
  <c r="AJ16" i="20"/>
  <c r="J28" i="20" s="1"/>
  <c r="F28" i="20"/>
  <c r="K28" i="20"/>
  <c r="L28" i="20"/>
  <c r="AI18" i="20"/>
  <c r="AF17" i="19"/>
  <c r="AI17" i="19"/>
  <c r="AJ19" i="19"/>
  <c r="J31" i="19" s="1"/>
  <c r="F31" i="19"/>
  <c r="O31" i="19" s="1"/>
  <c r="K31" i="19"/>
  <c r="L31" i="19"/>
  <c r="AJ16" i="19"/>
  <c r="J28" i="19" s="1"/>
  <c r="F28" i="19"/>
  <c r="K28" i="19"/>
  <c r="L28" i="19"/>
  <c r="AI18" i="19"/>
  <c r="AF17" i="18"/>
  <c r="AI17" i="18"/>
  <c r="AJ19" i="18"/>
  <c r="J31" i="18" s="1"/>
  <c r="F31" i="18"/>
  <c r="O31" i="18" s="1"/>
  <c r="K31" i="18"/>
  <c r="L31" i="18"/>
  <c r="AJ16" i="18"/>
  <c r="J28" i="18" s="1"/>
  <c r="F28" i="18"/>
  <c r="K28" i="18"/>
  <c r="L28" i="18"/>
  <c r="AI18" i="18"/>
  <c r="AF17" i="17"/>
  <c r="AI17" i="17"/>
  <c r="AJ19" i="17"/>
  <c r="J31" i="17" s="1"/>
  <c r="F31" i="17"/>
  <c r="O31" i="17" s="1"/>
  <c r="K31" i="17"/>
  <c r="L31" i="17"/>
  <c r="AJ16" i="17"/>
  <c r="J28" i="17" s="1"/>
  <c r="F28" i="17"/>
  <c r="K28" i="17"/>
  <c r="L28" i="17"/>
  <c r="AI18" i="17"/>
  <c r="AF17" i="16"/>
  <c r="AI17" i="16"/>
  <c r="AJ19" i="16"/>
  <c r="J31" i="16" s="1"/>
  <c r="F31" i="16"/>
  <c r="O31" i="16" s="1"/>
  <c r="K31" i="16"/>
  <c r="L31" i="16"/>
  <c r="AJ16" i="16"/>
  <c r="J28" i="16" s="1"/>
  <c r="F28" i="16"/>
  <c r="K28" i="16"/>
  <c r="L28" i="16"/>
  <c r="AI18" i="16"/>
  <c r="AJ18" i="16" l="1"/>
  <c r="J30" i="16" s="1"/>
  <c r="F30" i="16"/>
  <c r="O30" i="16" s="1"/>
  <c r="K30" i="16"/>
  <c r="L30" i="16"/>
  <c r="M28" i="16"/>
  <c r="M31" i="16"/>
  <c r="S31" i="16"/>
  <c r="AJ17" i="16"/>
  <c r="J29" i="16" s="1"/>
  <c r="F29" i="16"/>
  <c r="P31" i="16" s="1"/>
  <c r="K29" i="16"/>
  <c r="L29" i="16"/>
  <c r="AJ18" i="17"/>
  <c r="J30" i="17" s="1"/>
  <c r="F30" i="17"/>
  <c r="O30" i="17" s="1"/>
  <c r="K30" i="17"/>
  <c r="L30" i="17"/>
  <c r="M28" i="17"/>
  <c r="M31" i="17"/>
  <c r="S31" i="17"/>
  <c r="AJ17" i="17"/>
  <c r="J29" i="17" s="1"/>
  <c r="F29" i="17"/>
  <c r="P31" i="17" s="1"/>
  <c r="K29" i="17"/>
  <c r="L29" i="17"/>
  <c r="AJ18" i="18"/>
  <c r="J30" i="18" s="1"/>
  <c r="F30" i="18"/>
  <c r="O30" i="18" s="1"/>
  <c r="K30" i="18"/>
  <c r="L30" i="18"/>
  <c r="M28" i="18"/>
  <c r="M31" i="18"/>
  <c r="S31" i="18"/>
  <c r="AJ17" i="18"/>
  <c r="J29" i="18" s="1"/>
  <c r="F29" i="18"/>
  <c r="P31" i="18" s="1"/>
  <c r="K29" i="18"/>
  <c r="L29" i="18"/>
  <c r="AJ18" i="19"/>
  <c r="J30" i="19" s="1"/>
  <c r="F30" i="19"/>
  <c r="O30" i="19" s="1"/>
  <c r="K30" i="19"/>
  <c r="L30" i="19"/>
  <c r="M28" i="19"/>
  <c r="M31" i="19"/>
  <c r="S31" i="19"/>
  <c r="AJ17" i="19"/>
  <c r="J29" i="19" s="1"/>
  <c r="F29" i="19"/>
  <c r="P31" i="19" s="1"/>
  <c r="K29" i="19"/>
  <c r="L29" i="19"/>
  <c r="AJ18" i="20"/>
  <c r="J30" i="20" s="1"/>
  <c r="F30" i="20"/>
  <c r="O30" i="20" s="1"/>
  <c r="K30" i="20"/>
  <c r="L30" i="20"/>
  <c r="M28" i="20"/>
  <c r="M31" i="20"/>
  <c r="S31" i="20"/>
  <c r="AJ17" i="20"/>
  <c r="J29" i="20" s="1"/>
  <c r="F29" i="20"/>
  <c r="P31" i="20" s="1"/>
  <c r="K29" i="20"/>
  <c r="L29" i="20"/>
  <c r="AJ18" i="21"/>
  <c r="J30" i="21" s="1"/>
  <c r="F30" i="21"/>
  <c r="O30" i="21" s="1"/>
  <c r="K30" i="21"/>
  <c r="L30" i="21"/>
  <c r="M28" i="21"/>
  <c r="M31" i="21"/>
  <c r="S31" i="21"/>
  <c r="AJ17" i="21"/>
  <c r="J29" i="21" s="1"/>
  <c r="F29" i="21"/>
  <c r="P31" i="21" s="1"/>
  <c r="K29" i="21"/>
  <c r="L29" i="21"/>
  <c r="M30" i="23"/>
  <c r="M28" i="23"/>
  <c r="M31" i="23"/>
  <c r="S31" i="23"/>
  <c r="AJ17" i="23"/>
  <c r="J29" i="23" s="1"/>
  <c r="F29" i="23"/>
  <c r="P30" i="23" s="1"/>
  <c r="K29" i="23"/>
  <c r="L29" i="23"/>
  <c r="AJ18" i="22"/>
  <c r="J30" i="22" s="1"/>
  <c r="F30" i="22"/>
  <c r="O30" i="22" s="1"/>
  <c r="K30" i="22"/>
  <c r="L30" i="22"/>
  <c r="M28" i="22"/>
  <c r="M31" i="22"/>
  <c r="S31" i="22"/>
  <c r="AJ17" i="22"/>
  <c r="J29" i="22" s="1"/>
  <c r="F29" i="22"/>
  <c r="P31" i="22" s="1"/>
  <c r="K29" i="22"/>
  <c r="L29" i="22"/>
  <c r="M29" i="22" l="1"/>
  <c r="O28" i="22" s="1"/>
  <c r="Q31" i="22"/>
  <c r="O29" i="22"/>
  <c r="M30" i="22"/>
  <c r="P30" i="22"/>
  <c r="Q30" i="22"/>
  <c r="M29" i="23"/>
  <c r="O28" i="23" s="1"/>
  <c r="Q31" i="23"/>
  <c r="P31" i="23"/>
  <c r="O29" i="23"/>
  <c r="Q30" i="23"/>
  <c r="M29" i="21"/>
  <c r="O28" i="21" s="1"/>
  <c r="Q31" i="21"/>
  <c r="O29" i="21"/>
  <c r="M30" i="21"/>
  <c r="P30" i="21"/>
  <c r="Q30" i="21"/>
  <c r="M29" i="20"/>
  <c r="O28" i="20" s="1"/>
  <c r="Q31" i="20"/>
  <c r="O29" i="20"/>
  <c r="M30" i="20"/>
  <c r="P30" i="20"/>
  <c r="Q30" i="20"/>
  <c r="M29" i="19"/>
  <c r="O28" i="19" s="1"/>
  <c r="Q31" i="19"/>
  <c r="O29" i="19"/>
  <c r="M30" i="19"/>
  <c r="P30" i="19"/>
  <c r="Q30" i="19"/>
  <c r="M29" i="18"/>
  <c r="O28" i="18" s="1"/>
  <c r="Q31" i="18"/>
  <c r="O29" i="18"/>
  <c r="M30" i="18"/>
  <c r="P30" i="18"/>
  <c r="Q30" i="18"/>
  <c r="M29" i="17"/>
  <c r="O28" i="17" s="1"/>
  <c r="Q31" i="17"/>
  <c r="O29" i="17"/>
  <c r="M30" i="17"/>
  <c r="P30" i="17"/>
  <c r="Q30" i="17"/>
  <c r="M29" i="16"/>
  <c r="O28" i="16" s="1"/>
  <c r="Q31" i="16"/>
  <c r="O29" i="16"/>
  <c r="M30" i="16"/>
  <c r="P30" i="16"/>
  <c r="Q30" i="16"/>
  <c r="P28" i="16" l="1"/>
  <c r="Q28" i="16"/>
  <c r="T31" i="16"/>
  <c r="U31" i="16"/>
  <c r="P28" i="17"/>
  <c r="Q28" i="17"/>
  <c r="T31" i="17"/>
  <c r="U31" i="17"/>
  <c r="P28" i="18"/>
  <c r="Q28" i="18"/>
  <c r="T31" i="18"/>
  <c r="U31" i="18"/>
  <c r="P28" i="19"/>
  <c r="Q28" i="19"/>
  <c r="T31" i="19"/>
  <c r="U31" i="19"/>
  <c r="P28" i="20"/>
  <c r="Q28" i="20"/>
  <c r="T31" i="20"/>
  <c r="U31" i="20"/>
  <c r="P28" i="21"/>
  <c r="Q28" i="21"/>
  <c r="T31" i="21"/>
  <c r="U31" i="21"/>
  <c r="P28" i="23"/>
  <c r="Q28" i="23"/>
  <c r="T31" i="23"/>
  <c r="U31" i="23"/>
  <c r="P28" i="22"/>
  <c r="Q28" i="22"/>
  <c r="T31" i="22"/>
  <c r="U31" i="22"/>
  <c r="P29" i="16"/>
  <c r="Q29" i="16"/>
  <c r="S29" i="16"/>
  <c r="P29" i="17"/>
  <c r="Q29" i="17"/>
  <c r="S29" i="17"/>
  <c r="P29" i="18"/>
  <c r="Q29" i="18"/>
  <c r="S29" i="18"/>
  <c r="P29" i="19"/>
  <c r="Q29" i="19"/>
  <c r="S29" i="19"/>
  <c r="P29" i="20"/>
  <c r="Q29" i="20"/>
  <c r="S29" i="20"/>
  <c r="P29" i="21"/>
  <c r="Q29" i="21"/>
  <c r="S29" i="21"/>
  <c r="P29" i="23"/>
  <c r="Q29" i="23"/>
  <c r="S29" i="23"/>
  <c r="P29" i="22"/>
  <c r="Q29" i="22"/>
  <c r="S29" i="22"/>
  <c r="T29" i="22" l="1"/>
  <c r="U29" i="22"/>
  <c r="W29" i="22"/>
  <c r="T29" i="23"/>
  <c r="U29" i="23"/>
  <c r="W29" i="23"/>
  <c r="T29" i="21"/>
  <c r="U29" i="21"/>
  <c r="W29" i="21"/>
  <c r="T29" i="20"/>
  <c r="U29" i="20"/>
  <c r="W29" i="20"/>
  <c r="T29" i="19"/>
  <c r="U29" i="19"/>
  <c r="W29" i="19"/>
  <c r="T29" i="18"/>
  <c r="U29" i="18"/>
  <c r="W29" i="18"/>
  <c r="T29" i="17"/>
  <c r="U29" i="17"/>
  <c r="W29" i="17"/>
  <c r="T29" i="16"/>
  <c r="U29" i="16"/>
  <c r="W29" i="16"/>
  <c r="S28" i="22"/>
  <c r="S30" i="22"/>
  <c r="S28" i="23"/>
  <c r="S30" i="23"/>
  <c r="S28" i="21"/>
  <c r="S30" i="21"/>
  <c r="S28" i="20"/>
  <c r="S30" i="20"/>
  <c r="S28" i="19"/>
  <c r="S30" i="19"/>
  <c r="S28" i="18"/>
  <c r="S30" i="18"/>
  <c r="S28" i="17"/>
  <c r="S30" i="17"/>
  <c r="S28" i="16"/>
  <c r="S30" i="16"/>
  <c r="T30" i="16" l="1"/>
  <c r="U30" i="16"/>
  <c r="W30" i="16"/>
  <c r="T28" i="16"/>
  <c r="U28" i="16"/>
  <c r="T30" i="17"/>
  <c r="U30" i="17"/>
  <c r="W30" i="17"/>
  <c r="T28" i="17"/>
  <c r="U28" i="17"/>
  <c r="T30" i="18"/>
  <c r="U30" i="18"/>
  <c r="W30" i="18"/>
  <c r="T28" i="18"/>
  <c r="U28" i="18"/>
  <c r="T30" i="19"/>
  <c r="U30" i="19"/>
  <c r="W30" i="19"/>
  <c r="T28" i="19"/>
  <c r="U28" i="19"/>
  <c r="T30" i="20"/>
  <c r="U30" i="20"/>
  <c r="W30" i="20"/>
  <c r="T28" i="20"/>
  <c r="U28" i="20"/>
  <c r="T30" i="21"/>
  <c r="U30" i="21"/>
  <c r="W30" i="21"/>
  <c r="T28" i="21"/>
  <c r="U28" i="21"/>
  <c r="T30" i="23"/>
  <c r="U30" i="23"/>
  <c r="W30" i="23"/>
  <c r="T28" i="23"/>
  <c r="U28" i="23"/>
  <c r="T30" i="22"/>
  <c r="U30" i="22"/>
  <c r="W30" i="22"/>
  <c r="T28" i="22"/>
  <c r="U28" i="22"/>
  <c r="X29" i="16"/>
  <c r="Y29" i="16"/>
  <c r="X29" i="17"/>
  <c r="Y29" i="17"/>
  <c r="X29" i="18"/>
  <c r="Y29" i="18"/>
  <c r="X29" i="19"/>
  <c r="Y29" i="19"/>
  <c r="X29" i="20"/>
  <c r="Y29" i="20"/>
  <c r="X29" i="21"/>
  <c r="Y29" i="21"/>
  <c r="X29" i="23"/>
  <c r="Y29" i="23"/>
  <c r="X29" i="22"/>
  <c r="Y29" i="22"/>
  <c r="W28" i="22" l="1"/>
  <c r="W31" i="22"/>
  <c r="X30" i="22"/>
  <c r="AA29" i="22" s="1"/>
  <c r="Y30" i="22"/>
  <c r="W28" i="23"/>
  <c r="W31" i="23"/>
  <c r="X30" i="23"/>
  <c r="AA29" i="23" s="1"/>
  <c r="Y30" i="23"/>
  <c r="W28" i="21"/>
  <c r="W31" i="21"/>
  <c r="X30" i="21"/>
  <c r="AA29" i="21" s="1"/>
  <c r="Y30" i="21"/>
  <c r="W28" i="20"/>
  <c r="W31" i="20"/>
  <c r="X30" i="20"/>
  <c r="AA29" i="20" s="1"/>
  <c r="Y30" i="20"/>
  <c r="W28" i="19"/>
  <c r="W31" i="19"/>
  <c r="X30" i="19"/>
  <c r="AA29" i="19" s="1"/>
  <c r="Y30" i="19"/>
  <c r="W28" i="18"/>
  <c r="W31" i="18"/>
  <c r="X30" i="18"/>
  <c r="AA29" i="18" s="1"/>
  <c r="Y30" i="18"/>
  <c r="W28" i="17"/>
  <c r="W31" i="17"/>
  <c r="X30" i="17"/>
  <c r="AA29" i="17" s="1"/>
  <c r="Y30" i="17"/>
  <c r="W28" i="16"/>
  <c r="W31" i="16"/>
  <c r="X30" i="16"/>
  <c r="AA29" i="16" s="1"/>
  <c r="Y30" i="16"/>
  <c r="AB29" i="16" l="1"/>
  <c r="AC29" i="16"/>
  <c r="AB29" i="17"/>
  <c r="AC29" i="17"/>
  <c r="AB29" i="18"/>
  <c r="AC29" i="18"/>
  <c r="AB29" i="19"/>
  <c r="AC29" i="19"/>
  <c r="AB29" i="20"/>
  <c r="AC29" i="20"/>
  <c r="AB29" i="21"/>
  <c r="AC29" i="21"/>
  <c r="AB29" i="23"/>
  <c r="AC29" i="23"/>
  <c r="AB29" i="22"/>
  <c r="AC29" i="22"/>
  <c r="X31" i="16"/>
  <c r="Y31" i="16"/>
  <c r="AA31" i="16"/>
  <c r="X28" i="16"/>
  <c r="Y28" i="16"/>
  <c r="AA28" i="16"/>
  <c r="X31" i="17"/>
  <c r="Y31" i="17"/>
  <c r="AA31" i="17"/>
  <c r="X28" i="17"/>
  <c r="Y28" i="17"/>
  <c r="AA28" i="17"/>
  <c r="X31" i="18"/>
  <c r="Y31" i="18"/>
  <c r="AA31" i="18"/>
  <c r="X28" i="18"/>
  <c r="Y28" i="18"/>
  <c r="AA28" i="18"/>
  <c r="X31" i="19"/>
  <c r="Y31" i="19"/>
  <c r="AA31" i="19"/>
  <c r="X28" i="19"/>
  <c r="Y28" i="19"/>
  <c r="AA28" i="19"/>
  <c r="X31" i="20"/>
  <c r="Y31" i="20"/>
  <c r="AA31" i="20"/>
  <c r="X28" i="20"/>
  <c r="Y28" i="20"/>
  <c r="AA28" i="20"/>
  <c r="X31" i="21"/>
  <c r="Y31" i="21"/>
  <c r="AA31" i="21"/>
  <c r="X28" i="21"/>
  <c r="Y28" i="21"/>
  <c r="AA28" i="21"/>
  <c r="X31" i="23"/>
  <c r="Y31" i="23"/>
  <c r="AA31" i="23"/>
  <c r="X28" i="23"/>
  <c r="Y28" i="23"/>
  <c r="AA28" i="23"/>
  <c r="X31" i="22"/>
  <c r="Y31" i="22"/>
  <c r="AA31" i="22"/>
  <c r="X28" i="22"/>
  <c r="Y28" i="22"/>
  <c r="AA28" i="22"/>
  <c r="AA30" i="16"/>
  <c r="AA30" i="17"/>
  <c r="AA30" i="18"/>
  <c r="AA30" i="19"/>
  <c r="AA30" i="20"/>
  <c r="AA30" i="21"/>
  <c r="AA30" i="23"/>
  <c r="AA30" i="22"/>
  <c r="AB30" i="22" l="1"/>
  <c r="AC30" i="22"/>
  <c r="AE30" i="22"/>
  <c r="AB30" i="23"/>
  <c r="AC30" i="23"/>
  <c r="AE30" i="23"/>
  <c r="AB30" i="21"/>
  <c r="AC30" i="21"/>
  <c r="AE30" i="21"/>
  <c r="AB30" i="20"/>
  <c r="AC30" i="20"/>
  <c r="AE30" i="20"/>
  <c r="AB30" i="19"/>
  <c r="AC30" i="19"/>
  <c r="AE30" i="19"/>
  <c r="AB30" i="18"/>
  <c r="AC30" i="18"/>
  <c r="AE30" i="18"/>
  <c r="AB30" i="17"/>
  <c r="AC30" i="17"/>
  <c r="AE30" i="17"/>
  <c r="AB30" i="16"/>
  <c r="AC30" i="16"/>
  <c r="AE30" i="16"/>
  <c r="AB28" i="22"/>
  <c r="AC28" i="22"/>
  <c r="AE28" i="22"/>
  <c r="AB31" i="22"/>
  <c r="AC31" i="22"/>
  <c r="AB28" i="23"/>
  <c r="AC28" i="23"/>
  <c r="AE28" i="23"/>
  <c r="AB31" i="23"/>
  <c r="AC31" i="23"/>
  <c r="AB28" i="21"/>
  <c r="AC28" i="21"/>
  <c r="AE28" i="21"/>
  <c r="AB31" i="21"/>
  <c r="AC31" i="21"/>
  <c r="AB28" i="20"/>
  <c r="AC28" i="20"/>
  <c r="AE28" i="20"/>
  <c r="AB31" i="20"/>
  <c r="AC31" i="20"/>
  <c r="AB28" i="19"/>
  <c r="AC28" i="19"/>
  <c r="AE28" i="19"/>
  <c r="AB31" i="19"/>
  <c r="AC31" i="19"/>
  <c r="AB28" i="18"/>
  <c r="AC28" i="18"/>
  <c r="AE28" i="18"/>
  <c r="AB31" i="18"/>
  <c r="AC31" i="18"/>
  <c r="AB28" i="17"/>
  <c r="AC28" i="17"/>
  <c r="AE28" i="17"/>
  <c r="AB31" i="17"/>
  <c r="AC31" i="17"/>
  <c r="AB28" i="16"/>
  <c r="AC28" i="16"/>
  <c r="AE28" i="16"/>
  <c r="AB31" i="16"/>
  <c r="AC31" i="16"/>
  <c r="AE29" i="22"/>
  <c r="AE31" i="22"/>
  <c r="AE29" i="23"/>
  <c r="AE31" i="23"/>
  <c r="AE29" i="21"/>
  <c r="AE31" i="21"/>
  <c r="AE29" i="20"/>
  <c r="AE31" i="20"/>
  <c r="AE29" i="19"/>
  <c r="AE31" i="19"/>
  <c r="AE29" i="18"/>
  <c r="AE31" i="18"/>
  <c r="AE29" i="17"/>
  <c r="AE31" i="17"/>
  <c r="AE29" i="16"/>
  <c r="AE31" i="16"/>
  <c r="AF31" i="16" l="1"/>
  <c r="AG31" i="16"/>
  <c r="AF29" i="16"/>
  <c r="AG29" i="16"/>
  <c r="AI29" i="16"/>
  <c r="AF31" i="17"/>
  <c r="AG31" i="17"/>
  <c r="AF29" i="17"/>
  <c r="AG29" i="17"/>
  <c r="AI29" i="17"/>
  <c r="AF31" i="18"/>
  <c r="AG31" i="18"/>
  <c r="AF29" i="18"/>
  <c r="AG29" i="18"/>
  <c r="AI29" i="18"/>
  <c r="AF31" i="19"/>
  <c r="AG31" i="19"/>
  <c r="AF29" i="19"/>
  <c r="AG29" i="19"/>
  <c r="AI29" i="19"/>
  <c r="AF31" i="20"/>
  <c r="AG31" i="20"/>
  <c r="AF29" i="20"/>
  <c r="AG29" i="20"/>
  <c r="AI29" i="20"/>
  <c r="AF31" i="21"/>
  <c r="AG31" i="21"/>
  <c r="AF29" i="21"/>
  <c r="AG29" i="21"/>
  <c r="AI29" i="21"/>
  <c r="AF31" i="23"/>
  <c r="AG31" i="23"/>
  <c r="AF29" i="23"/>
  <c r="AG29" i="23"/>
  <c r="AI29" i="23"/>
  <c r="AF31" i="22"/>
  <c r="AG31" i="22"/>
  <c r="AF29" i="22"/>
  <c r="AG29" i="22"/>
  <c r="AI29" i="22"/>
  <c r="AF28" i="16"/>
  <c r="AG28" i="16"/>
  <c r="AI28" i="16"/>
  <c r="AF28" i="17"/>
  <c r="AG28" i="17"/>
  <c r="AI28" i="17"/>
  <c r="AF28" i="18"/>
  <c r="AG28" i="18"/>
  <c r="AI28" i="18"/>
  <c r="AF28" i="19"/>
  <c r="AG28" i="19"/>
  <c r="AI28" i="19"/>
  <c r="AF28" i="20"/>
  <c r="AG28" i="20"/>
  <c r="AI28" i="20"/>
  <c r="AF28" i="21"/>
  <c r="AG28" i="21"/>
  <c r="AI28" i="21"/>
  <c r="AF28" i="23"/>
  <c r="AG28" i="23"/>
  <c r="AI28" i="23"/>
  <c r="AF28" i="22"/>
  <c r="AG28" i="22"/>
  <c r="AI28" i="22"/>
  <c r="AF30" i="16"/>
  <c r="AG30" i="16"/>
  <c r="AF30" i="17"/>
  <c r="AG30" i="17"/>
  <c r="AF30" i="18"/>
  <c r="AG30" i="18"/>
  <c r="AF30" i="19"/>
  <c r="AG30" i="19"/>
  <c r="AF30" i="20"/>
  <c r="AG30" i="20"/>
  <c r="AF30" i="21"/>
  <c r="AG30" i="21"/>
  <c r="AF30" i="23"/>
  <c r="AG30" i="23"/>
  <c r="AF30" i="22"/>
  <c r="AG30" i="22"/>
  <c r="AI30" i="22" l="1"/>
  <c r="AI31" i="22"/>
  <c r="AI30" i="23"/>
  <c r="AI31" i="23"/>
  <c r="AI30" i="21"/>
  <c r="AI31" i="21"/>
  <c r="AI30" i="20"/>
  <c r="AI31" i="20"/>
  <c r="AI30" i="19"/>
  <c r="AI31" i="19"/>
  <c r="AI30" i="18"/>
  <c r="AI31" i="18"/>
  <c r="AI30" i="17"/>
  <c r="AI31" i="17"/>
  <c r="AI30" i="16"/>
  <c r="AI31" i="16"/>
  <c r="AJ28" i="22"/>
  <c r="AK28" i="22"/>
  <c r="F40" i="22"/>
  <c r="AJ28" i="23"/>
  <c r="AK28" i="23"/>
  <c r="F40" i="23"/>
  <c r="AJ28" i="21"/>
  <c r="AK28" i="21"/>
  <c r="F40" i="21"/>
  <c r="AJ28" i="20"/>
  <c r="AK28" i="20"/>
  <c r="F40" i="20"/>
  <c r="AJ28" i="19"/>
  <c r="AK28" i="19"/>
  <c r="F40" i="19"/>
  <c r="AJ28" i="18"/>
  <c r="AK28" i="18"/>
  <c r="F40" i="18"/>
  <c r="AJ28" i="17"/>
  <c r="AK28" i="17"/>
  <c r="F40" i="17"/>
  <c r="AJ28" i="16"/>
  <c r="AK28" i="16"/>
  <c r="F40" i="16"/>
  <c r="AJ29" i="22"/>
  <c r="AK29" i="22"/>
  <c r="F41" i="22"/>
  <c r="AJ29" i="23"/>
  <c r="AK29" i="23"/>
  <c r="F41" i="23"/>
  <c r="AJ29" i="21"/>
  <c r="AK29" i="21"/>
  <c r="F41" i="21"/>
  <c r="AJ29" i="20"/>
  <c r="AK29" i="20"/>
  <c r="F41" i="20"/>
  <c r="AJ29" i="19"/>
  <c r="AK29" i="19"/>
  <c r="F41" i="19"/>
  <c r="AJ29" i="18"/>
  <c r="AK29" i="18"/>
  <c r="F41" i="18"/>
  <c r="AJ29" i="17"/>
  <c r="AK29" i="17"/>
  <c r="F41" i="17"/>
  <c r="AJ29" i="16"/>
  <c r="AK29" i="16"/>
  <c r="F41" i="16"/>
  <c r="J41" i="16" l="1"/>
  <c r="K41" i="16"/>
  <c r="L41" i="16"/>
  <c r="J41" i="17"/>
  <c r="K41" i="17"/>
  <c r="L41" i="17"/>
  <c r="J41" i="18"/>
  <c r="K41" i="18"/>
  <c r="L41" i="18"/>
  <c r="J41" i="19"/>
  <c r="K41" i="19"/>
  <c r="L41" i="19"/>
  <c r="J41" i="20"/>
  <c r="K41" i="20"/>
  <c r="L41" i="20"/>
  <c r="J41" i="21"/>
  <c r="K41" i="21"/>
  <c r="L41" i="21"/>
  <c r="J41" i="23"/>
  <c r="K41" i="23"/>
  <c r="L41" i="23"/>
  <c r="J41" i="22"/>
  <c r="K41" i="22"/>
  <c r="L41" i="22"/>
  <c r="J40" i="16"/>
  <c r="K40" i="16"/>
  <c r="L40" i="16"/>
  <c r="J40" i="17"/>
  <c r="K40" i="17"/>
  <c r="L40" i="17"/>
  <c r="J40" i="18"/>
  <c r="K40" i="18"/>
  <c r="L40" i="18"/>
  <c r="J40" i="19"/>
  <c r="K40" i="19"/>
  <c r="L40" i="19"/>
  <c r="J40" i="20"/>
  <c r="K40" i="20"/>
  <c r="L40" i="20"/>
  <c r="J40" i="21"/>
  <c r="K40" i="21"/>
  <c r="L40" i="21"/>
  <c r="J40" i="23"/>
  <c r="K40" i="23"/>
  <c r="L40" i="23"/>
  <c r="J40" i="22"/>
  <c r="K40" i="22"/>
  <c r="L40" i="22"/>
  <c r="AJ31" i="16"/>
  <c r="AK31" i="16"/>
  <c r="F43" i="16"/>
  <c r="AJ30" i="16"/>
  <c r="AK30" i="16"/>
  <c r="F42" i="16"/>
  <c r="AJ31" i="17"/>
  <c r="AK31" i="17"/>
  <c r="F43" i="17"/>
  <c r="AJ30" i="17"/>
  <c r="AK30" i="17"/>
  <c r="F42" i="17"/>
  <c r="AJ31" i="18"/>
  <c r="AK31" i="18"/>
  <c r="F43" i="18"/>
  <c r="AJ30" i="18"/>
  <c r="AK30" i="18"/>
  <c r="F42" i="18"/>
  <c r="AJ31" i="19"/>
  <c r="AK31" i="19"/>
  <c r="F43" i="19"/>
  <c r="AJ30" i="19"/>
  <c r="AK30" i="19"/>
  <c r="F42" i="19"/>
  <c r="AJ31" i="20"/>
  <c r="AK31" i="20"/>
  <c r="F43" i="20"/>
  <c r="AJ30" i="20"/>
  <c r="AK30" i="20"/>
  <c r="F42" i="20"/>
  <c r="AJ31" i="21"/>
  <c r="AK31" i="21"/>
  <c r="F43" i="21"/>
  <c r="AJ30" i="21"/>
  <c r="AK30" i="21"/>
  <c r="F42" i="21"/>
  <c r="AJ31" i="23"/>
  <c r="AK31" i="23"/>
  <c r="F43" i="23"/>
  <c r="AJ30" i="23"/>
  <c r="AK30" i="23"/>
  <c r="F42" i="23"/>
  <c r="AJ31" i="22"/>
  <c r="AK31" i="22"/>
  <c r="F43" i="22"/>
  <c r="AJ30" i="22"/>
  <c r="AK30" i="22"/>
  <c r="F42" i="22"/>
  <c r="J42" i="22" l="1"/>
  <c r="K42" i="22"/>
  <c r="L42" i="22"/>
  <c r="O42" i="22"/>
  <c r="J43" i="22"/>
  <c r="K43" i="22"/>
  <c r="L43" i="22"/>
  <c r="O43" i="22"/>
  <c r="J42" i="23"/>
  <c r="K42" i="23"/>
  <c r="L42" i="23"/>
  <c r="O42" i="23"/>
  <c r="J43" i="23"/>
  <c r="K43" i="23"/>
  <c r="L43" i="23"/>
  <c r="O43" i="23"/>
  <c r="J42" i="21"/>
  <c r="K42" i="21"/>
  <c r="L42" i="21"/>
  <c r="O42" i="21"/>
  <c r="J43" i="21"/>
  <c r="K43" i="21"/>
  <c r="L43" i="21"/>
  <c r="O43" i="21"/>
  <c r="J42" i="20"/>
  <c r="K42" i="20"/>
  <c r="L42" i="20"/>
  <c r="O42" i="20"/>
  <c r="J43" i="20"/>
  <c r="K43" i="20"/>
  <c r="L43" i="20"/>
  <c r="O43" i="20"/>
  <c r="J42" i="19"/>
  <c r="K42" i="19"/>
  <c r="L42" i="19"/>
  <c r="O42" i="19"/>
  <c r="J43" i="19"/>
  <c r="K43" i="19"/>
  <c r="L43" i="19"/>
  <c r="O43" i="19"/>
  <c r="J42" i="18"/>
  <c r="K42" i="18"/>
  <c r="L42" i="18"/>
  <c r="O42" i="18"/>
  <c r="J43" i="18"/>
  <c r="K43" i="18"/>
  <c r="L43" i="18"/>
  <c r="O43" i="18"/>
  <c r="J42" i="17"/>
  <c r="K42" i="17"/>
  <c r="L42" i="17"/>
  <c r="O42" i="17"/>
  <c r="J43" i="17"/>
  <c r="K43" i="17"/>
  <c r="L43" i="17"/>
  <c r="O43" i="17"/>
  <c r="J42" i="16"/>
  <c r="K42" i="16"/>
  <c r="L42" i="16"/>
  <c r="O42" i="16"/>
  <c r="J43" i="16"/>
  <c r="K43" i="16"/>
  <c r="L43" i="16"/>
  <c r="O43" i="16"/>
  <c r="M40" i="22"/>
  <c r="M40" i="23"/>
  <c r="M40" i="21"/>
  <c r="M40" i="20"/>
  <c r="M40" i="19"/>
  <c r="M40" i="18"/>
  <c r="M40" i="17"/>
  <c r="M40" i="16"/>
  <c r="M41" i="22"/>
  <c r="O40" i="22" s="1"/>
  <c r="M41" i="23"/>
  <c r="O40" i="23" s="1"/>
  <c r="M41" i="21"/>
  <c r="O40" i="21" s="1"/>
  <c r="M41" i="20"/>
  <c r="O40" i="20" s="1"/>
  <c r="M41" i="19"/>
  <c r="O40" i="19" s="1"/>
  <c r="M41" i="18"/>
  <c r="O40" i="18" s="1"/>
  <c r="M41" i="17"/>
  <c r="O40" i="17" s="1"/>
  <c r="M41" i="16"/>
  <c r="O40" i="16" s="1"/>
  <c r="P40" i="16" l="1"/>
  <c r="Q40" i="16"/>
  <c r="R40" i="16"/>
  <c r="P40" i="17"/>
  <c r="Q40" i="17"/>
  <c r="R40" i="17"/>
  <c r="P40" i="18"/>
  <c r="Q40" i="18"/>
  <c r="R40" i="18"/>
  <c r="P40" i="19"/>
  <c r="Q40" i="19"/>
  <c r="R40" i="19"/>
  <c r="P40" i="20"/>
  <c r="Q40" i="20"/>
  <c r="R40" i="20"/>
  <c r="P40" i="21"/>
  <c r="Q40" i="21"/>
  <c r="R40" i="21"/>
  <c r="P40" i="23"/>
  <c r="Q40" i="23"/>
  <c r="R40" i="23"/>
  <c r="P40" i="22"/>
  <c r="Q40" i="22"/>
  <c r="R40" i="22"/>
  <c r="O41" i="16"/>
  <c r="O41" i="17"/>
  <c r="O41" i="18"/>
  <c r="O41" i="19"/>
  <c r="O41" i="20"/>
  <c r="O41" i="21"/>
  <c r="O41" i="23"/>
  <c r="O41" i="22"/>
  <c r="P43" i="16"/>
  <c r="R43" i="16"/>
  <c r="S43" i="16"/>
  <c r="M43" i="16"/>
  <c r="Q43" i="16" s="1"/>
  <c r="P42" i="16"/>
  <c r="R42" i="16"/>
  <c r="M42" i="16"/>
  <c r="Q42" i="16" s="1"/>
  <c r="P43" i="17"/>
  <c r="R43" i="17"/>
  <c r="S43" i="17"/>
  <c r="M43" i="17"/>
  <c r="Q43" i="17" s="1"/>
  <c r="P42" i="17"/>
  <c r="R42" i="17"/>
  <c r="M42" i="17"/>
  <c r="Q42" i="17" s="1"/>
  <c r="P43" i="18"/>
  <c r="R43" i="18"/>
  <c r="S43" i="18"/>
  <c r="M43" i="18"/>
  <c r="Q43" i="18" s="1"/>
  <c r="P42" i="18"/>
  <c r="R42" i="18"/>
  <c r="M42" i="18"/>
  <c r="Q42" i="18" s="1"/>
  <c r="P43" i="19"/>
  <c r="R43" i="19"/>
  <c r="S43" i="19"/>
  <c r="M43" i="19"/>
  <c r="Q43" i="19" s="1"/>
  <c r="P42" i="19"/>
  <c r="R42" i="19"/>
  <c r="M42" i="19"/>
  <c r="Q42" i="19" s="1"/>
  <c r="P43" i="20"/>
  <c r="R43" i="20"/>
  <c r="S43" i="20"/>
  <c r="M43" i="20"/>
  <c r="Q43" i="20" s="1"/>
  <c r="P42" i="20"/>
  <c r="R42" i="20"/>
  <c r="M42" i="20"/>
  <c r="Q42" i="20" s="1"/>
  <c r="P43" i="21"/>
  <c r="R43" i="21"/>
  <c r="S43" i="21"/>
  <c r="M43" i="21"/>
  <c r="Q43" i="21" s="1"/>
  <c r="P42" i="21"/>
  <c r="R42" i="21"/>
  <c r="M42" i="21"/>
  <c r="Q42" i="21" s="1"/>
  <c r="P43" i="23"/>
  <c r="R43" i="23"/>
  <c r="S43" i="23"/>
  <c r="M43" i="23"/>
  <c r="Q43" i="23" s="1"/>
  <c r="P42" i="23"/>
  <c r="R42" i="23"/>
  <c r="M42" i="23"/>
  <c r="Q42" i="23" s="1"/>
  <c r="P43" i="22"/>
  <c r="R43" i="22"/>
  <c r="S43" i="22"/>
  <c r="M43" i="22"/>
  <c r="Q43" i="22" s="1"/>
  <c r="P42" i="22"/>
  <c r="R42" i="22"/>
  <c r="M42" i="22"/>
  <c r="Q42" i="22" s="1"/>
  <c r="T43" i="22" l="1"/>
  <c r="U43" i="22"/>
  <c r="V43" i="22"/>
  <c r="T43" i="23"/>
  <c r="U43" i="23"/>
  <c r="V43" i="23"/>
  <c r="T43" i="21"/>
  <c r="U43" i="21"/>
  <c r="V43" i="21"/>
  <c r="T43" i="20"/>
  <c r="U43" i="20"/>
  <c r="V43" i="20"/>
  <c r="T43" i="19"/>
  <c r="U43" i="19"/>
  <c r="V43" i="19"/>
  <c r="T43" i="18"/>
  <c r="U43" i="18"/>
  <c r="V43" i="18"/>
  <c r="T43" i="17"/>
  <c r="U43" i="17"/>
  <c r="V43" i="17"/>
  <c r="T43" i="16"/>
  <c r="U43" i="16"/>
  <c r="V43" i="16"/>
  <c r="P41" i="22"/>
  <c r="Q41" i="22"/>
  <c r="R41" i="22"/>
  <c r="S41" i="22"/>
  <c r="P41" i="23"/>
  <c r="Q41" i="23"/>
  <c r="R41" i="23"/>
  <c r="S41" i="23"/>
  <c r="P41" i="21"/>
  <c r="Q41" i="21"/>
  <c r="R41" i="21"/>
  <c r="S41" i="21"/>
  <c r="P41" i="20"/>
  <c r="Q41" i="20"/>
  <c r="R41" i="20"/>
  <c r="S41" i="20"/>
  <c r="P41" i="19"/>
  <c r="Q41" i="19"/>
  <c r="R41" i="19"/>
  <c r="S41" i="19"/>
  <c r="P41" i="18"/>
  <c r="Q41" i="18"/>
  <c r="R41" i="18"/>
  <c r="S41" i="18"/>
  <c r="P41" i="17"/>
  <c r="Q41" i="17"/>
  <c r="R41" i="17"/>
  <c r="S41" i="17"/>
  <c r="P41" i="16"/>
  <c r="Q41" i="16"/>
  <c r="R41" i="16"/>
  <c r="S41" i="16"/>
  <c r="S40" i="22"/>
  <c r="S42" i="22"/>
  <c r="S40" i="23"/>
  <c r="S42" i="23"/>
  <c r="S40" i="21"/>
  <c r="S42" i="21"/>
  <c r="S40" i="20"/>
  <c r="S42" i="20"/>
  <c r="S40" i="19"/>
  <c r="S42" i="19"/>
  <c r="S40" i="18"/>
  <c r="S42" i="18"/>
  <c r="S40" i="17"/>
  <c r="S42" i="17"/>
  <c r="S40" i="16"/>
  <c r="S42" i="16"/>
  <c r="T42" i="16" l="1"/>
  <c r="U42" i="16"/>
  <c r="V42" i="16"/>
  <c r="W42" i="16"/>
  <c r="T40" i="16"/>
  <c r="U40" i="16"/>
  <c r="V40" i="16"/>
  <c r="T42" i="17"/>
  <c r="U42" i="17"/>
  <c r="V42" i="17"/>
  <c r="W42" i="17"/>
  <c r="T40" i="17"/>
  <c r="U40" i="17"/>
  <c r="V40" i="17"/>
  <c r="T42" i="18"/>
  <c r="U42" i="18"/>
  <c r="V42" i="18"/>
  <c r="W42" i="18"/>
  <c r="T40" i="18"/>
  <c r="U40" i="18"/>
  <c r="V40" i="18"/>
  <c r="T42" i="19"/>
  <c r="U42" i="19"/>
  <c r="V42" i="19"/>
  <c r="W42" i="19"/>
  <c r="T40" i="19"/>
  <c r="U40" i="19"/>
  <c r="V40" i="19"/>
  <c r="T42" i="20"/>
  <c r="U42" i="20"/>
  <c r="V42" i="20"/>
  <c r="W42" i="20"/>
  <c r="T40" i="20"/>
  <c r="U40" i="20"/>
  <c r="V40" i="20"/>
  <c r="T42" i="21"/>
  <c r="U42" i="21"/>
  <c r="V42" i="21"/>
  <c r="W42" i="21"/>
  <c r="T40" i="21"/>
  <c r="U40" i="21"/>
  <c r="V40" i="21"/>
  <c r="T42" i="23"/>
  <c r="U42" i="23"/>
  <c r="V42" i="23"/>
  <c r="W42" i="23"/>
  <c r="T40" i="23"/>
  <c r="U40" i="23"/>
  <c r="V40" i="23"/>
  <c r="T42" i="22"/>
  <c r="U42" i="22"/>
  <c r="V42" i="22"/>
  <c r="W42" i="22"/>
  <c r="T40" i="22"/>
  <c r="U40" i="22"/>
  <c r="V40" i="22"/>
  <c r="T41" i="16"/>
  <c r="U41" i="16"/>
  <c r="V41" i="16"/>
  <c r="W41" i="16"/>
  <c r="T41" i="17"/>
  <c r="U41" i="17"/>
  <c r="V41" i="17"/>
  <c r="W41" i="17"/>
  <c r="T41" i="18"/>
  <c r="U41" i="18"/>
  <c r="V41" i="18"/>
  <c r="W41" i="18"/>
  <c r="T41" i="19"/>
  <c r="U41" i="19"/>
  <c r="V41" i="19"/>
  <c r="W41" i="19"/>
  <c r="T41" i="20"/>
  <c r="U41" i="20"/>
  <c r="V41" i="20"/>
  <c r="W41" i="20"/>
  <c r="T41" i="21"/>
  <c r="U41" i="21"/>
  <c r="V41" i="21"/>
  <c r="W41" i="21"/>
  <c r="T41" i="23"/>
  <c r="U41" i="23"/>
  <c r="V41" i="23"/>
  <c r="W41" i="23"/>
  <c r="T41" i="22"/>
  <c r="U41" i="22"/>
  <c r="V41" i="22"/>
  <c r="W41" i="22"/>
  <c r="X41" i="22" l="1"/>
  <c r="Y41" i="22"/>
  <c r="Z41" i="22"/>
  <c r="X41" i="23"/>
  <c r="Y41" i="23"/>
  <c r="Z41" i="23"/>
  <c r="X41" i="21"/>
  <c r="Y41" i="21"/>
  <c r="Z41" i="21"/>
  <c r="X41" i="20"/>
  <c r="Y41" i="20"/>
  <c r="Z41" i="20"/>
  <c r="X41" i="19"/>
  <c r="Y41" i="19"/>
  <c r="Z41" i="19"/>
  <c r="X41" i="18"/>
  <c r="Y41" i="18"/>
  <c r="Z41" i="18"/>
  <c r="X41" i="17"/>
  <c r="Y41" i="17"/>
  <c r="Z41" i="17"/>
  <c r="X41" i="16"/>
  <c r="Y41" i="16"/>
  <c r="Z41" i="16"/>
  <c r="W40" i="22"/>
  <c r="W43" i="22"/>
  <c r="X42" i="22"/>
  <c r="Y42" i="22"/>
  <c r="Z42" i="22"/>
  <c r="W40" i="23"/>
  <c r="W43" i="23"/>
  <c r="X42" i="23"/>
  <c r="Y42" i="23"/>
  <c r="Z42" i="23"/>
  <c r="W40" i="21"/>
  <c r="W43" i="21"/>
  <c r="X42" i="21"/>
  <c r="Y42" i="21"/>
  <c r="Z42" i="21"/>
  <c r="W40" i="20"/>
  <c r="W43" i="20"/>
  <c r="X42" i="20"/>
  <c r="Y42" i="20"/>
  <c r="Z42" i="20"/>
  <c r="W40" i="19"/>
  <c r="W43" i="19"/>
  <c r="X42" i="19"/>
  <c r="Y42" i="19"/>
  <c r="Z42" i="19"/>
  <c r="W40" i="18"/>
  <c r="W43" i="18"/>
  <c r="X42" i="18"/>
  <c r="Y42" i="18"/>
  <c r="Z42" i="18"/>
  <c r="W40" i="17"/>
  <c r="W43" i="17"/>
  <c r="X42" i="17"/>
  <c r="Y42" i="17"/>
  <c r="Z42" i="17"/>
  <c r="W40" i="16"/>
  <c r="W43" i="16"/>
  <c r="X42" i="16"/>
  <c r="Y42" i="16"/>
  <c r="Z42" i="16"/>
  <c r="X43" i="16" l="1"/>
  <c r="Y43" i="16"/>
  <c r="Z43" i="16"/>
  <c r="AA43" i="16"/>
  <c r="X40" i="16"/>
  <c r="Y40" i="16"/>
  <c r="Z40" i="16"/>
  <c r="AA40" i="16"/>
  <c r="X43" i="17"/>
  <c r="Y43" i="17"/>
  <c r="Z43" i="17"/>
  <c r="AA43" i="17"/>
  <c r="X40" i="17"/>
  <c r="Y40" i="17"/>
  <c r="Z40" i="17"/>
  <c r="AA40" i="17"/>
  <c r="X43" i="18"/>
  <c r="Y43" i="18"/>
  <c r="Z43" i="18"/>
  <c r="AA43" i="18"/>
  <c r="X40" i="18"/>
  <c r="Y40" i="18"/>
  <c r="Z40" i="18"/>
  <c r="AA40" i="18"/>
  <c r="X43" i="19"/>
  <c r="Y43" i="19"/>
  <c r="Z43" i="19"/>
  <c r="AA43" i="19"/>
  <c r="X40" i="19"/>
  <c r="Y40" i="19"/>
  <c r="Z40" i="19"/>
  <c r="AA40" i="19"/>
  <c r="X43" i="20"/>
  <c r="Y43" i="20"/>
  <c r="Z43" i="20"/>
  <c r="AA43" i="20"/>
  <c r="X40" i="20"/>
  <c r="Y40" i="20"/>
  <c r="Z40" i="20"/>
  <c r="AA40" i="20"/>
  <c r="X43" i="21"/>
  <c r="Y43" i="21"/>
  <c r="Z43" i="21"/>
  <c r="AA43" i="21"/>
  <c r="X40" i="21"/>
  <c r="Y40" i="21"/>
  <c r="Z40" i="21"/>
  <c r="AA40" i="21"/>
  <c r="X43" i="23"/>
  <c r="Y43" i="23"/>
  <c r="Z43" i="23"/>
  <c r="AA43" i="23"/>
  <c r="X40" i="23"/>
  <c r="Y40" i="23"/>
  <c r="Z40" i="23"/>
  <c r="AA40" i="23"/>
  <c r="X43" i="22"/>
  <c r="Y43" i="22"/>
  <c r="Z43" i="22"/>
  <c r="AA43" i="22"/>
  <c r="X40" i="22"/>
  <c r="Y40" i="22"/>
  <c r="Z40" i="22"/>
  <c r="AA40" i="22"/>
  <c r="AA41" i="16"/>
  <c r="AA42" i="16"/>
  <c r="AA41" i="17"/>
  <c r="AA42" i="17"/>
  <c r="AA41" i="18"/>
  <c r="AA42" i="18"/>
  <c r="AA41" i="19"/>
  <c r="AA42" i="19"/>
  <c r="AA41" i="20"/>
  <c r="AA42" i="20"/>
  <c r="AA41" i="21"/>
  <c r="AA42" i="21"/>
  <c r="AA41" i="23"/>
  <c r="AA42" i="23"/>
  <c r="AA41" i="22"/>
  <c r="AA42" i="22"/>
  <c r="AB42" i="22" l="1"/>
  <c r="AC42" i="22"/>
  <c r="AD42" i="22"/>
  <c r="AE42" i="22"/>
  <c r="AB41" i="22"/>
  <c r="AC41" i="22"/>
  <c r="AD41" i="22"/>
  <c r="AB42" i="23"/>
  <c r="AC42" i="23"/>
  <c r="AD42" i="23"/>
  <c r="AE42" i="23"/>
  <c r="AB41" i="23"/>
  <c r="AC41" i="23"/>
  <c r="AD41" i="23"/>
  <c r="AB42" i="21"/>
  <c r="AC42" i="21"/>
  <c r="AD42" i="21"/>
  <c r="AE42" i="21"/>
  <c r="AB41" i="21"/>
  <c r="AC41" i="21"/>
  <c r="AD41" i="21"/>
  <c r="AB42" i="20"/>
  <c r="AC42" i="20"/>
  <c r="AD42" i="20"/>
  <c r="AE42" i="20"/>
  <c r="AB41" i="20"/>
  <c r="AC41" i="20"/>
  <c r="AD41" i="20"/>
  <c r="AB42" i="19"/>
  <c r="AC42" i="19"/>
  <c r="AD42" i="19"/>
  <c r="AE42" i="19"/>
  <c r="AB41" i="19"/>
  <c r="AC41" i="19"/>
  <c r="AD41" i="19"/>
  <c r="AB42" i="18"/>
  <c r="AC42" i="18"/>
  <c r="AD42" i="18"/>
  <c r="AE42" i="18"/>
  <c r="AB41" i="18"/>
  <c r="AC41" i="18"/>
  <c r="AD41" i="18"/>
  <c r="AB42" i="17"/>
  <c r="AC42" i="17"/>
  <c r="AD42" i="17"/>
  <c r="AE42" i="17"/>
  <c r="AB41" i="17"/>
  <c r="AC41" i="17"/>
  <c r="AD41" i="17"/>
  <c r="AB42" i="16"/>
  <c r="AC42" i="16"/>
  <c r="AD42" i="16"/>
  <c r="AE42" i="16"/>
  <c r="AB41" i="16"/>
  <c r="AC41" i="16"/>
  <c r="AD41" i="16"/>
  <c r="AB40" i="22"/>
  <c r="AC40" i="22"/>
  <c r="AD40" i="22"/>
  <c r="AE40" i="22"/>
  <c r="AB43" i="22"/>
  <c r="AC43" i="22"/>
  <c r="AD43" i="22"/>
  <c r="AB40" i="23"/>
  <c r="AC40" i="23"/>
  <c r="AD40" i="23"/>
  <c r="AE40" i="23"/>
  <c r="AB43" i="23"/>
  <c r="AC43" i="23"/>
  <c r="AD43" i="23"/>
  <c r="AB40" i="21"/>
  <c r="AC40" i="21"/>
  <c r="AD40" i="21"/>
  <c r="AE40" i="21"/>
  <c r="AB43" i="21"/>
  <c r="AC43" i="21"/>
  <c r="AD43" i="21"/>
  <c r="AB40" i="20"/>
  <c r="AC40" i="20"/>
  <c r="AD40" i="20"/>
  <c r="AE40" i="20"/>
  <c r="AB43" i="20"/>
  <c r="AC43" i="20"/>
  <c r="AD43" i="20"/>
  <c r="AB40" i="19"/>
  <c r="AC40" i="19"/>
  <c r="AD40" i="19"/>
  <c r="AE40" i="19"/>
  <c r="AB43" i="19"/>
  <c r="AC43" i="19"/>
  <c r="AD43" i="19"/>
  <c r="AB40" i="18"/>
  <c r="AC40" i="18"/>
  <c r="AD40" i="18"/>
  <c r="AE40" i="18"/>
  <c r="AB43" i="18"/>
  <c r="AC43" i="18"/>
  <c r="AD43" i="18"/>
  <c r="AB40" i="17"/>
  <c r="AC40" i="17"/>
  <c r="AD40" i="17"/>
  <c r="AE40" i="17"/>
  <c r="AB43" i="17"/>
  <c r="AC43" i="17"/>
  <c r="AD43" i="17"/>
  <c r="AB40" i="16"/>
  <c r="AC40" i="16"/>
  <c r="AD40" i="16"/>
  <c r="AE40" i="16"/>
  <c r="AB43" i="16"/>
  <c r="AC43" i="16"/>
  <c r="AD43" i="16"/>
  <c r="AF40" i="16" l="1"/>
  <c r="AG40" i="16"/>
  <c r="AH40" i="16"/>
  <c r="AI40" i="16"/>
  <c r="AF40" i="17"/>
  <c r="AG40" i="17"/>
  <c r="AH40" i="17"/>
  <c r="AI40" i="17"/>
  <c r="AF40" i="18"/>
  <c r="AG40" i="18"/>
  <c r="AH40" i="18"/>
  <c r="AI40" i="18"/>
  <c r="AF40" i="19"/>
  <c r="AG40" i="19"/>
  <c r="AH40" i="19"/>
  <c r="AI40" i="19"/>
  <c r="AF40" i="20"/>
  <c r="AG40" i="20"/>
  <c r="AH40" i="20"/>
  <c r="AI40" i="20"/>
  <c r="AF40" i="21"/>
  <c r="AG40" i="21"/>
  <c r="AH40" i="21"/>
  <c r="AI40" i="21"/>
  <c r="AF40" i="23"/>
  <c r="AG40" i="23"/>
  <c r="AH40" i="23"/>
  <c r="AI40" i="23"/>
  <c r="AF40" i="22"/>
  <c r="AG40" i="22"/>
  <c r="AH40" i="22"/>
  <c r="AI40" i="22"/>
  <c r="AE41" i="16"/>
  <c r="AE43" i="16"/>
  <c r="AF42" i="16"/>
  <c r="AG42" i="16"/>
  <c r="AH42" i="16"/>
  <c r="AE41" i="17"/>
  <c r="AE43" i="17"/>
  <c r="AF42" i="17"/>
  <c r="AG42" i="17"/>
  <c r="AH42" i="17"/>
  <c r="AE41" i="18"/>
  <c r="AE43" i="18"/>
  <c r="AF42" i="18"/>
  <c r="AG42" i="18"/>
  <c r="AH42" i="18"/>
  <c r="AE41" i="19"/>
  <c r="AE43" i="19"/>
  <c r="AF42" i="19"/>
  <c r="AG42" i="19"/>
  <c r="AH42" i="19"/>
  <c r="AE41" i="20"/>
  <c r="AE43" i="20"/>
  <c r="AF42" i="20"/>
  <c r="AG42" i="20"/>
  <c r="AH42" i="20"/>
  <c r="AE41" i="21"/>
  <c r="AE43" i="21"/>
  <c r="AF42" i="21"/>
  <c r="AG42" i="21"/>
  <c r="AH42" i="21"/>
  <c r="AE41" i="23"/>
  <c r="AE43" i="23"/>
  <c r="AF42" i="23"/>
  <c r="AG42" i="23"/>
  <c r="AH42" i="23"/>
  <c r="AE41" i="22"/>
  <c r="AE43" i="22"/>
  <c r="AF42" i="22"/>
  <c r="AG42" i="22"/>
  <c r="AH42" i="22"/>
  <c r="AF43" i="22" l="1"/>
  <c r="AI42" i="22" s="1"/>
  <c r="AG43" i="22"/>
  <c r="AH43" i="22"/>
  <c r="AF41" i="22"/>
  <c r="AG41" i="22"/>
  <c r="AH41" i="22"/>
  <c r="AI41" i="22"/>
  <c r="AF43" i="23"/>
  <c r="AI42" i="23" s="1"/>
  <c r="AG43" i="23"/>
  <c r="AH43" i="23"/>
  <c r="AF41" i="23"/>
  <c r="AG41" i="23"/>
  <c r="AH41" i="23"/>
  <c r="AI41" i="23"/>
  <c r="AF43" i="21"/>
  <c r="AI42" i="21" s="1"/>
  <c r="AG43" i="21"/>
  <c r="AH43" i="21"/>
  <c r="AF41" i="21"/>
  <c r="AG41" i="21"/>
  <c r="AH41" i="21"/>
  <c r="AI41" i="21"/>
  <c r="AF43" i="20"/>
  <c r="AI42" i="20" s="1"/>
  <c r="AG43" i="20"/>
  <c r="AH43" i="20"/>
  <c r="AF41" i="20"/>
  <c r="AG41" i="20"/>
  <c r="AH41" i="20"/>
  <c r="AI41" i="20"/>
  <c r="AF43" i="19"/>
  <c r="AI42" i="19" s="1"/>
  <c r="AG43" i="19"/>
  <c r="AH43" i="19"/>
  <c r="AF41" i="19"/>
  <c r="AG41" i="19"/>
  <c r="AH41" i="19"/>
  <c r="AI41" i="19"/>
  <c r="AF43" i="18"/>
  <c r="AI42" i="18" s="1"/>
  <c r="AG43" i="18"/>
  <c r="AH43" i="18"/>
  <c r="AF41" i="18"/>
  <c r="AG41" i="18"/>
  <c r="AH41" i="18"/>
  <c r="AI41" i="18"/>
  <c r="AF43" i="17"/>
  <c r="AI42" i="17" s="1"/>
  <c r="AG43" i="17"/>
  <c r="AH43" i="17"/>
  <c r="AF41" i="17"/>
  <c r="AG41" i="17"/>
  <c r="AH41" i="17"/>
  <c r="AI41" i="17"/>
  <c r="AF43" i="16"/>
  <c r="AI42" i="16" s="1"/>
  <c r="AG43" i="16"/>
  <c r="AH43" i="16"/>
  <c r="AF41" i="16"/>
  <c r="AG41" i="16"/>
  <c r="AH41" i="16"/>
  <c r="AI41" i="16"/>
  <c r="AJ40" i="22"/>
  <c r="AK40" i="22"/>
  <c r="AL40" i="22"/>
  <c r="F52" i="22"/>
  <c r="AJ40" i="23"/>
  <c r="AK40" i="23"/>
  <c r="AL40" i="23"/>
  <c r="F52" i="23"/>
  <c r="AJ40" i="21"/>
  <c r="AK40" i="21"/>
  <c r="AL40" i="21"/>
  <c r="F52" i="21"/>
  <c r="AJ40" i="20"/>
  <c r="AK40" i="20"/>
  <c r="AL40" i="20"/>
  <c r="F52" i="20"/>
  <c r="AJ40" i="19"/>
  <c r="AK40" i="19"/>
  <c r="AL40" i="19"/>
  <c r="F52" i="19"/>
  <c r="AJ40" i="18"/>
  <c r="AK40" i="18"/>
  <c r="AL40" i="18"/>
  <c r="F52" i="18"/>
  <c r="AJ40" i="17"/>
  <c r="AK40" i="17"/>
  <c r="AL40" i="17"/>
  <c r="F52" i="17"/>
  <c r="AJ40" i="16"/>
  <c r="AK40" i="16"/>
  <c r="AL40" i="16"/>
  <c r="F52" i="16"/>
  <c r="AJ42" i="16" l="1"/>
  <c r="AK42" i="16"/>
  <c r="AL42" i="16"/>
  <c r="F54" i="16"/>
  <c r="AJ42" i="17"/>
  <c r="AK42" i="17"/>
  <c r="AL42" i="17"/>
  <c r="F54" i="17"/>
  <c r="AJ42" i="18"/>
  <c r="AK42" i="18"/>
  <c r="AL42" i="18"/>
  <c r="F54" i="18"/>
  <c r="AJ42" i="19"/>
  <c r="AK42" i="19"/>
  <c r="AL42" i="19"/>
  <c r="F54" i="19"/>
  <c r="AJ42" i="20"/>
  <c r="AK42" i="20"/>
  <c r="AL42" i="20"/>
  <c r="F54" i="20"/>
  <c r="AJ42" i="21"/>
  <c r="AK42" i="21"/>
  <c r="AL42" i="21"/>
  <c r="F54" i="21"/>
  <c r="AJ42" i="23"/>
  <c r="AK42" i="23"/>
  <c r="AL42" i="23"/>
  <c r="F54" i="23"/>
  <c r="AJ42" i="22"/>
  <c r="AK42" i="22"/>
  <c r="AL42" i="22"/>
  <c r="F54" i="22"/>
  <c r="G52" i="16"/>
  <c r="H17" i="10" s="1"/>
  <c r="H52" i="16"/>
  <c r="I17" i="10" s="1"/>
  <c r="I52" i="16"/>
  <c r="J17" i="10" s="1"/>
  <c r="J52" i="16"/>
  <c r="K17" i="10" s="1"/>
  <c r="K52" i="16"/>
  <c r="L17" i="10" s="1"/>
  <c r="L52" i="16"/>
  <c r="M17" i="10" s="1"/>
  <c r="M52" i="16"/>
  <c r="O17" i="10" s="1"/>
  <c r="G17" i="10"/>
  <c r="G52" i="17"/>
  <c r="H17" i="9" s="1"/>
  <c r="H52" i="17"/>
  <c r="I17" i="9" s="1"/>
  <c r="I52" i="17"/>
  <c r="J17" i="9" s="1"/>
  <c r="J52" i="17"/>
  <c r="K17" i="9" s="1"/>
  <c r="K52" i="17"/>
  <c r="L17" i="9" s="1"/>
  <c r="L52" i="17"/>
  <c r="M17" i="9" s="1"/>
  <c r="M52" i="17"/>
  <c r="O17" i="9" s="1"/>
  <c r="G17" i="9"/>
  <c r="G52" i="18"/>
  <c r="H17" i="8" s="1"/>
  <c r="H52" i="18"/>
  <c r="I17" i="8" s="1"/>
  <c r="I52" i="18"/>
  <c r="J17" i="8" s="1"/>
  <c r="J52" i="18"/>
  <c r="K17" i="8" s="1"/>
  <c r="K52" i="18"/>
  <c r="L17" i="8" s="1"/>
  <c r="L52" i="18"/>
  <c r="M17" i="8" s="1"/>
  <c r="M52" i="18"/>
  <c r="O17" i="8" s="1"/>
  <c r="G17" i="8"/>
  <c r="G52" i="19"/>
  <c r="H17" i="7" s="1"/>
  <c r="H52" i="19"/>
  <c r="I17" i="7" s="1"/>
  <c r="I52" i="19"/>
  <c r="J17" i="7" s="1"/>
  <c r="J52" i="19"/>
  <c r="K17" i="7" s="1"/>
  <c r="K52" i="19"/>
  <c r="L17" i="7" s="1"/>
  <c r="L52" i="19"/>
  <c r="M17" i="7" s="1"/>
  <c r="M52" i="19"/>
  <c r="O17" i="7" s="1"/>
  <c r="G17" i="7"/>
  <c r="G52" i="20"/>
  <c r="H17" i="6" s="1"/>
  <c r="H52" i="20"/>
  <c r="I17" i="6" s="1"/>
  <c r="I52" i="20"/>
  <c r="J17" i="6" s="1"/>
  <c r="J52" i="20"/>
  <c r="K17" i="6" s="1"/>
  <c r="K52" i="20"/>
  <c r="L17" i="6" s="1"/>
  <c r="L52" i="20"/>
  <c r="M17" i="6" s="1"/>
  <c r="M52" i="20"/>
  <c r="O17" i="6" s="1"/>
  <c r="G17" i="6"/>
  <c r="G52" i="21"/>
  <c r="H17" i="5" s="1"/>
  <c r="H52" i="21"/>
  <c r="I17" i="5" s="1"/>
  <c r="I52" i="21"/>
  <c r="J17" i="5" s="1"/>
  <c r="J52" i="21"/>
  <c r="K17" i="5" s="1"/>
  <c r="K52" i="21"/>
  <c r="L17" i="5" s="1"/>
  <c r="L52" i="21"/>
  <c r="M17" i="5" s="1"/>
  <c r="M52" i="21"/>
  <c r="O17" i="5" s="1"/>
  <c r="G17" i="5"/>
  <c r="G52" i="23"/>
  <c r="H17" i="4" s="1"/>
  <c r="H52" i="23"/>
  <c r="I17" i="4" s="1"/>
  <c r="I52" i="23"/>
  <c r="J17" i="4" s="1"/>
  <c r="J52" i="23"/>
  <c r="K17" i="4" s="1"/>
  <c r="K52" i="23"/>
  <c r="L17" i="4" s="1"/>
  <c r="L52" i="23"/>
  <c r="M17" i="4" s="1"/>
  <c r="M52" i="23"/>
  <c r="O17" i="4" s="1"/>
  <c r="G17" i="4"/>
  <c r="G52" i="22"/>
  <c r="H17" i="3" s="1"/>
  <c r="H52" i="22"/>
  <c r="I17" i="3" s="1"/>
  <c r="I52" i="22"/>
  <c r="J17" i="3" s="1"/>
  <c r="J52" i="22"/>
  <c r="K17" i="3" s="1"/>
  <c r="K52" i="22"/>
  <c r="L17" i="3" s="1"/>
  <c r="L52" i="22"/>
  <c r="M17" i="3" s="1"/>
  <c r="M52" i="22"/>
  <c r="O17" i="3" s="1"/>
  <c r="G17" i="3"/>
  <c r="AJ41" i="16"/>
  <c r="AK41" i="16"/>
  <c r="AL41" i="16"/>
  <c r="F53" i="16"/>
  <c r="AI43" i="16"/>
  <c r="AJ41" i="17"/>
  <c r="AK41" i="17"/>
  <c r="AL41" i="17"/>
  <c r="F53" i="17"/>
  <c r="AI43" i="17"/>
  <c r="AJ41" i="18"/>
  <c r="AK41" i="18"/>
  <c r="AL41" i="18"/>
  <c r="F53" i="18"/>
  <c r="AI43" i="18"/>
  <c r="AJ41" i="19"/>
  <c r="AK41" i="19"/>
  <c r="AL41" i="19"/>
  <c r="F53" i="19"/>
  <c r="AI43" i="19"/>
  <c r="AJ41" i="20"/>
  <c r="AK41" i="20"/>
  <c r="AL41" i="20"/>
  <c r="F53" i="20"/>
  <c r="AI43" i="20"/>
  <c r="AJ41" i="21"/>
  <c r="AK41" i="21"/>
  <c r="AL41" i="21"/>
  <c r="F53" i="21"/>
  <c r="AI43" i="21"/>
  <c r="AJ41" i="23"/>
  <c r="AK41" i="23"/>
  <c r="AL41" i="23"/>
  <c r="F53" i="23"/>
  <c r="AI43" i="23"/>
  <c r="AJ41" i="22"/>
  <c r="AK41" i="22"/>
  <c r="AL41" i="22"/>
  <c r="F53" i="22"/>
  <c r="AI43" i="22"/>
  <c r="AJ43" i="22" l="1"/>
  <c r="AK43" i="22"/>
  <c r="AL43" i="22"/>
  <c r="F55" i="22"/>
  <c r="G53" i="22"/>
  <c r="H18" i="3" s="1"/>
  <c r="E17" i="11" s="1"/>
  <c r="H53" i="22"/>
  <c r="I18" i="3" s="1"/>
  <c r="I53" i="22"/>
  <c r="J18" i="3" s="1"/>
  <c r="J53" i="22"/>
  <c r="K18" i="3" s="1"/>
  <c r="K53" i="22"/>
  <c r="L18" i="3" s="1"/>
  <c r="L53" i="22"/>
  <c r="M18" i="3" s="1"/>
  <c r="M53" i="22"/>
  <c r="O18" i="3" s="1"/>
  <c r="G18" i="3"/>
  <c r="AJ43" i="23"/>
  <c r="AK43" i="23"/>
  <c r="AL43" i="23"/>
  <c r="F55" i="23"/>
  <c r="G53" i="23"/>
  <c r="H18" i="4" s="1"/>
  <c r="H53" i="23"/>
  <c r="I18" i="4" s="1"/>
  <c r="I53" i="23"/>
  <c r="J18" i="4" s="1"/>
  <c r="J53" i="23"/>
  <c r="K18" i="4" s="1"/>
  <c r="K53" i="23"/>
  <c r="L18" i="4" s="1"/>
  <c r="L53" i="23"/>
  <c r="M18" i="4" s="1"/>
  <c r="M53" i="23"/>
  <c r="O18" i="4" s="1"/>
  <c r="G18" i="4"/>
  <c r="AJ43" i="21"/>
  <c r="AK43" i="21"/>
  <c r="AL43" i="21"/>
  <c r="F55" i="21"/>
  <c r="G53" i="21"/>
  <c r="H18" i="5" s="1"/>
  <c r="E21" i="11" s="1"/>
  <c r="H53" i="21"/>
  <c r="I18" i="5" s="1"/>
  <c r="I53" i="21"/>
  <c r="J18" i="5" s="1"/>
  <c r="J53" i="21"/>
  <c r="K18" i="5" s="1"/>
  <c r="K53" i="21"/>
  <c r="L18" i="5" s="1"/>
  <c r="L53" i="21"/>
  <c r="M18" i="5" s="1"/>
  <c r="M53" i="21"/>
  <c r="O18" i="5" s="1"/>
  <c r="G18" i="5"/>
  <c r="AJ43" i="20"/>
  <c r="AK43" i="20"/>
  <c r="AL43" i="20"/>
  <c r="F55" i="20"/>
  <c r="G53" i="20"/>
  <c r="H18" i="6" s="1"/>
  <c r="E13" i="11" s="1"/>
  <c r="H53" i="20"/>
  <c r="I18" i="6" s="1"/>
  <c r="I53" i="20"/>
  <c r="J18" i="6" s="1"/>
  <c r="J53" i="20"/>
  <c r="K18" i="6" s="1"/>
  <c r="K53" i="20"/>
  <c r="L18" i="6" s="1"/>
  <c r="L53" i="20"/>
  <c r="M18" i="6" s="1"/>
  <c r="M53" i="20"/>
  <c r="O18" i="6" s="1"/>
  <c r="G18" i="6"/>
  <c r="AJ43" i="19"/>
  <c r="AK43" i="19"/>
  <c r="AL43" i="19"/>
  <c r="F55" i="19"/>
  <c r="G53" i="19"/>
  <c r="H18" i="7" s="1"/>
  <c r="E35" i="11" s="1"/>
  <c r="H53" i="19"/>
  <c r="I18" i="7" s="1"/>
  <c r="I53" i="19"/>
  <c r="J18" i="7" s="1"/>
  <c r="J53" i="19"/>
  <c r="K18" i="7" s="1"/>
  <c r="K53" i="19"/>
  <c r="L18" i="7" s="1"/>
  <c r="L53" i="19"/>
  <c r="M18" i="7" s="1"/>
  <c r="M53" i="19"/>
  <c r="O18" i="7" s="1"/>
  <c r="G18" i="7"/>
  <c r="AJ43" i="18"/>
  <c r="AK43" i="18"/>
  <c r="AL43" i="18"/>
  <c r="F55" i="18"/>
  <c r="G53" i="18"/>
  <c r="H18" i="8" s="1"/>
  <c r="E25" i="11" s="1"/>
  <c r="H53" i="18"/>
  <c r="I18" i="8" s="1"/>
  <c r="I53" i="18"/>
  <c r="J18" i="8" s="1"/>
  <c r="J53" i="18"/>
  <c r="K18" i="8" s="1"/>
  <c r="K53" i="18"/>
  <c r="L18" i="8" s="1"/>
  <c r="L53" i="18"/>
  <c r="M18" i="8" s="1"/>
  <c r="M53" i="18"/>
  <c r="O18" i="8" s="1"/>
  <c r="G18" i="8"/>
  <c r="AJ43" i="17"/>
  <c r="AK43" i="17"/>
  <c r="AL43" i="17"/>
  <c r="F55" i="17"/>
  <c r="G53" i="17"/>
  <c r="H18" i="9" s="1"/>
  <c r="E39" i="11" s="1"/>
  <c r="H53" i="17"/>
  <c r="I18" i="9" s="1"/>
  <c r="I53" i="17"/>
  <c r="J18" i="9" s="1"/>
  <c r="J53" i="17"/>
  <c r="K18" i="9" s="1"/>
  <c r="K53" i="17"/>
  <c r="L18" i="9" s="1"/>
  <c r="L53" i="17"/>
  <c r="M18" i="9" s="1"/>
  <c r="M53" i="17"/>
  <c r="O18" i="9" s="1"/>
  <c r="G18" i="9"/>
  <c r="AJ43" i="16"/>
  <c r="AK43" i="16"/>
  <c r="AL43" i="16"/>
  <c r="F55" i="16"/>
  <c r="G53" i="16"/>
  <c r="H18" i="10" s="1"/>
  <c r="E31" i="11" s="1"/>
  <c r="H53" i="16"/>
  <c r="I18" i="10" s="1"/>
  <c r="I53" i="16"/>
  <c r="J18" i="10" s="1"/>
  <c r="J53" i="16"/>
  <c r="K18" i="10" s="1"/>
  <c r="K53" i="16"/>
  <c r="L18" i="10" s="1"/>
  <c r="L53" i="16"/>
  <c r="M18" i="10" s="1"/>
  <c r="M53" i="16"/>
  <c r="O18" i="10" s="1"/>
  <c r="G18" i="10"/>
  <c r="N17" i="3"/>
  <c r="E7" i="11"/>
  <c r="N17" i="4"/>
  <c r="E15" i="11"/>
  <c r="N17" i="5"/>
  <c r="E11" i="11"/>
  <c r="N17" i="6"/>
  <c r="E19" i="11"/>
  <c r="N17" i="7"/>
  <c r="E23" i="11"/>
  <c r="N17" i="8"/>
  <c r="E33" i="11"/>
  <c r="N17" i="9"/>
  <c r="E29" i="11"/>
  <c r="N17" i="10"/>
  <c r="E37" i="11"/>
  <c r="G54" i="22"/>
  <c r="H19" i="3" s="1"/>
  <c r="H54" i="22"/>
  <c r="I19" i="3" s="1"/>
  <c r="I54" i="22"/>
  <c r="J19" i="3" s="1"/>
  <c r="J54" i="22"/>
  <c r="K19" i="3" s="1"/>
  <c r="K54" i="22"/>
  <c r="L19" i="3" s="1"/>
  <c r="L54" i="22"/>
  <c r="M19" i="3" s="1"/>
  <c r="M54" i="22"/>
  <c r="O19" i="3" s="1"/>
  <c r="G19" i="3"/>
  <c r="G54" i="23"/>
  <c r="H19" i="4" s="1"/>
  <c r="H54" i="23"/>
  <c r="I19" i="4" s="1"/>
  <c r="I54" i="23"/>
  <c r="J19" i="4" s="1"/>
  <c r="J54" i="23"/>
  <c r="K19" i="4" s="1"/>
  <c r="K54" i="23"/>
  <c r="L19" i="4" s="1"/>
  <c r="L54" i="23"/>
  <c r="M19" i="4" s="1"/>
  <c r="M54" i="23"/>
  <c r="O19" i="4" s="1"/>
  <c r="G19" i="4"/>
  <c r="G54" i="21"/>
  <c r="H19" i="5" s="1"/>
  <c r="H54" i="21"/>
  <c r="I19" i="5" s="1"/>
  <c r="I54" i="21"/>
  <c r="J19" i="5" s="1"/>
  <c r="J54" i="21"/>
  <c r="K19" i="5" s="1"/>
  <c r="K54" i="21"/>
  <c r="L19" i="5" s="1"/>
  <c r="L54" i="21"/>
  <c r="M19" i="5" s="1"/>
  <c r="M54" i="21"/>
  <c r="O19" i="5" s="1"/>
  <c r="G19" i="5"/>
  <c r="G54" i="20"/>
  <c r="H19" i="6" s="1"/>
  <c r="H54" i="20"/>
  <c r="I19" i="6" s="1"/>
  <c r="I54" i="20"/>
  <c r="J19" i="6" s="1"/>
  <c r="J54" i="20"/>
  <c r="K19" i="6" s="1"/>
  <c r="K54" i="20"/>
  <c r="L19" i="6" s="1"/>
  <c r="L54" i="20"/>
  <c r="M19" i="6" s="1"/>
  <c r="M54" i="20"/>
  <c r="O19" i="6" s="1"/>
  <c r="G19" i="6"/>
  <c r="G54" i="19"/>
  <c r="H19" i="7" s="1"/>
  <c r="H54" i="19"/>
  <c r="I19" i="7" s="1"/>
  <c r="I54" i="19"/>
  <c r="J19" i="7" s="1"/>
  <c r="J54" i="19"/>
  <c r="K19" i="7" s="1"/>
  <c r="K54" i="19"/>
  <c r="L19" i="7" s="1"/>
  <c r="L54" i="19"/>
  <c r="M19" i="7" s="1"/>
  <c r="M54" i="19"/>
  <c r="O19" i="7" s="1"/>
  <c r="G19" i="7"/>
  <c r="G54" i="18"/>
  <c r="H19" i="8" s="1"/>
  <c r="H54" i="18"/>
  <c r="I19" i="8" s="1"/>
  <c r="I54" i="18"/>
  <c r="J19" i="8" s="1"/>
  <c r="J54" i="18"/>
  <c r="K19" i="8" s="1"/>
  <c r="K54" i="18"/>
  <c r="L19" i="8" s="1"/>
  <c r="L54" i="18"/>
  <c r="M19" i="8" s="1"/>
  <c r="M54" i="18"/>
  <c r="O19" i="8" s="1"/>
  <c r="G19" i="8"/>
  <c r="G54" i="17"/>
  <c r="H19" i="9" s="1"/>
  <c r="H54" i="17"/>
  <c r="I19" i="9" s="1"/>
  <c r="I54" i="17"/>
  <c r="J19" i="9" s="1"/>
  <c r="J54" i="17"/>
  <c r="K19" i="9" s="1"/>
  <c r="K54" i="17"/>
  <c r="L19" i="9" s="1"/>
  <c r="L54" i="17"/>
  <c r="M19" i="9" s="1"/>
  <c r="M54" i="17"/>
  <c r="O19" i="9" s="1"/>
  <c r="G19" i="9"/>
  <c r="G54" i="16"/>
  <c r="H19" i="10" s="1"/>
  <c r="H54" i="16"/>
  <c r="I19" i="10" s="1"/>
  <c r="I54" i="16"/>
  <c r="J19" i="10" s="1"/>
  <c r="J54" i="16"/>
  <c r="K19" i="10" s="1"/>
  <c r="K54" i="16"/>
  <c r="L19" i="10" s="1"/>
  <c r="L54" i="16"/>
  <c r="M19" i="10" s="1"/>
  <c r="M54" i="16"/>
  <c r="O19" i="10" s="1"/>
  <c r="G19" i="10"/>
  <c r="N19" i="10" l="1"/>
  <c r="N19" i="9"/>
  <c r="N19" i="8"/>
  <c r="N19" i="7"/>
  <c r="N19" i="6"/>
  <c r="N19" i="5"/>
  <c r="N19" i="4"/>
  <c r="N19" i="3"/>
  <c r="N18" i="10"/>
  <c r="G55" i="16"/>
  <c r="H20" i="10" s="1"/>
  <c r="Q13" i="11" s="1"/>
  <c r="H55" i="16"/>
  <c r="I20" i="10" s="1"/>
  <c r="I55" i="16"/>
  <c r="J20" i="10" s="1"/>
  <c r="J55" i="16"/>
  <c r="K20" i="10" s="1"/>
  <c r="K55" i="16"/>
  <c r="L20" i="10" s="1"/>
  <c r="L55" i="16"/>
  <c r="M20" i="10" s="1"/>
  <c r="M55" i="16"/>
  <c r="O20" i="10" s="1"/>
  <c r="G20" i="10"/>
  <c r="N18" i="9"/>
  <c r="G55" i="17"/>
  <c r="H20" i="9" s="1"/>
  <c r="Q12" i="11" s="1"/>
  <c r="H55" i="17"/>
  <c r="I20" i="9" s="1"/>
  <c r="I55" i="17"/>
  <c r="J20" i="9" s="1"/>
  <c r="J55" i="17"/>
  <c r="K20" i="9" s="1"/>
  <c r="K55" i="17"/>
  <c r="L20" i="9" s="1"/>
  <c r="L55" i="17"/>
  <c r="M20" i="9" s="1"/>
  <c r="M55" i="17"/>
  <c r="O20" i="9" s="1"/>
  <c r="G20" i="9"/>
  <c r="N18" i="8"/>
  <c r="G55" i="18"/>
  <c r="H20" i="8" s="1"/>
  <c r="Q11" i="11" s="1"/>
  <c r="H55" i="18"/>
  <c r="I20" i="8" s="1"/>
  <c r="I55" i="18"/>
  <c r="J20" i="8" s="1"/>
  <c r="J55" i="18"/>
  <c r="K20" i="8" s="1"/>
  <c r="K55" i="18"/>
  <c r="L20" i="8" s="1"/>
  <c r="L55" i="18"/>
  <c r="M20" i="8" s="1"/>
  <c r="M55" i="18"/>
  <c r="O20" i="8" s="1"/>
  <c r="G20" i="8"/>
  <c r="N18" i="7"/>
  <c r="G55" i="19"/>
  <c r="H20" i="7" s="1"/>
  <c r="Q10" i="11" s="1"/>
  <c r="H55" i="19"/>
  <c r="I20" i="7" s="1"/>
  <c r="I55" i="19"/>
  <c r="J20" i="7" s="1"/>
  <c r="J55" i="19"/>
  <c r="K20" i="7" s="1"/>
  <c r="K55" i="19"/>
  <c r="L20" i="7" s="1"/>
  <c r="L55" i="19"/>
  <c r="M20" i="7" s="1"/>
  <c r="M55" i="19"/>
  <c r="O20" i="7" s="1"/>
  <c r="G20" i="7"/>
  <c r="N18" i="6"/>
  <c r="G55" i="20"/>
  <c r="H20" i="6" s="1"/>
  <c r="Q9" i="11" s="1"/>
  <c r="H55" i="20"/>
  <c r="I20" i="6" s="1"/>
  <c r="I55" i="20"/>
  <c r="J20" i="6" s="1"/>
  <c r="J55" i="20"/>
  <c r="K20" i="6" s="1"/>
  <c r="K55" i="20"/>
  <c r="L20" i="6" s="1"/>
  <c r="L55" i="20"/>
  <c r="M20" i="6" s="1"/>
  <c r="M55" i="20"/>
  <c r="O20" i="6" s="1"/>
  <c r="G20" i="6"/>
  <c r="N18" i="5"/>
  <c r="G55" i="21"/>
  <c r="H20" i="5" s="1"/>
  <c r="Q8" i="11" s="1"/>
  <c r="H55" i="21"/>
  <c r="I20" i="5" s="1"/>
  <c r="I55" i="21"/>
  <c r="J20" i="5" s="1"/>
  <c r="J55" i="21"/>
  <c r="K20" i="5" s="1"/>
  <c r="K55" i="21"/>
  <c r="L20" i="5" s="1"/>
  <c r="L55" i="21"/>
  <c r="M20" i="5" s="1"/>
  <c r="M55" i="21"/>
  <c r="O20" i="5" s="1"/>
  <c r="G20" i="5"/>
  <c r="N18" i="4"/>
  <c r="E9" i="11"/>
  <c r="G55" i="23"/>
  <c r="H20" i="4" s="1"/>
  <c r="Q7" i="11" s="1"/>
  <c r="H55" i="23"/>
  <c r="I20" i="4" s="1"/>
  <c r="I55" i="23"/>
  <c r="J20" i="4" s="1"/>
  <c r="J55" i="23"/>
  <c r="K20" i="4" s="1"/>
  <c r="K55" i="23"/>
  <c r="L20" i="4" s="1"/>
  <c r="L55" i="23"/>
  <c r="M20" i="4" s="1"/>
  <c r="M55" i="23"/>
  <c r="O20" i="4" s="1"/>
  <c r="G20" i="4"/>
  <c r="N18" i="3"/>
  <c r="G55" i="22"/>
  <c r="H20" i="3" s="1"/>
  <c r="Q6" i="11" s="1"/>
  <c r="H55" i="22"/>
  <c r="I20" i="3" s="1"/>
  <c r="I55" i="22"/>
  <c r="J20" i="3" s="1"/>
  <c r="J55" i="22"/>
  <c r="K20" i="3" s="1"/>
  <c r="K55" i="22"/>
  <c r="L20" i="3" s="1"/>
  <c r="L55" i="22"/>
  <c r="M20" i="3" s="1"/>
  <c r="M55" i="22"/>
  <c r="O20" i="3" s="1"/>
  <c r="G20" i="3"/>
  <c r="N20" i="3" l="1"/>
  <c r="N20" i="4"/>
  <c r="N20" i="5"/>
  <c r="N20" i="6"/>
  <c r="N20" i="7"/>
  <c r="N20" i="8"/>
  <c r="N20" i="9"/>
  <c r="N20" i="10"/>
</calcChain>
</file>

<file path=xl/sharedStrings.xml><?xml version="1.0" encoding="utf-8"?>
<sst xmlns="http://schemas.openxmlformats.org/spreadsheetml/2006/main" count="765" uniqueCount="163">
  <si>
    <t>18ª COPA DEL MUNDO FIFA</t>
  </si>
  <si>
    <t>09 de Junio - 09 de Julio de 2006</t>
  </si>
  <si>
    <t>ALEMANIA</t>
  </si>
  <si>
    <t>Grupo A</t>
  </si>
  <si>
    <t>Grupo B</t>
  </si>
  <si>
    <t>Grupo C</t>
  </si>
  <si>
    <t>Grupo D</t>
  </si>
  <si>
    <t>Grupo E</t>
  </si>
  <si>
    <t>Grupo F</t>
  </si>
  <si>
    <t>Grupo G</t>
  </si>
  <si>
    <t>Grupo H</t>
  </si>
  <si>
    <t>Octavos de Final</t>
  </si>
  <si>
    <t>Cuatos de Final</t>
  </si>
  <si>
    <t>SemiFinal</t>
  </si>
  <si>
    <t>FINAL</t>
  </si>
  <si>
    <t>Fixture ( para imprimir )</t>
  </si>
  <si>
    <t>#Fixture.A1</t>
  </si>
  <si>
    <r>
      <t>Diseñado por</t>
    </r>
    <r>
      <rPr>
        <b/>
        <sz val="10"/>
        <color indexed="10"/>
        <rFont val="Arial"/>
        <family val="2"/>
      </rPr>
      <t>A</t>
    </r>
    <r>
      <rPr>
        <b/>
        <sz val="10"/>
        <color indexed="8"/>
        <rFont val="Arial"/>
        <family val="2"/>
      </rPr>
      <t>ter!</t>
    </r>
  </si>
  <si>
    <t>Menu Principal</t>
  </si>
  <si>
    <t>#Portada.A1</t>
  </si>
  <si>
    <t>ALEMANIA 2006 - Primera fase</t>
  </si>
  <si>
    <t>PROGRAMA DE PARTIDOS</t>
  </si>
  <si>
    <r>
      <t xml:space="preserve">GRUPO </t>
    </r>
    <r>
      <rPr>
        <b/>
        <sz val="22"/>
        <color indexed="47"/>
        <rFont val="Verdana"/>
        <family val="2"/>
      </rPr>
      <t>A</t>
    </r>
  </si>
  <si>
    <t>sede</t>
  </si>
  <si>
    <t>día</t>
  </si>
  <si>
    <t>hora</t>
  </si>
  <si>
    <t>obs</t>
  </si>
  <si>
    <t>-</t>
  </si>
  <si>
    <t>Munich</t>
  </si>
  <si>
    <t>Gelsenkirchen</t>
  </si>
  <si>
    <t>Alemania</t>
  </si>
  <si>
    <t>Dortmund</t>
  </si>
  <si>
    <t>Hamburgo</t>
  </si>
  <si>
    <t>Costa Rica</t>
  </si>
  <si>
    <t>Berlin</t>
  </si>
  <si>
    <t>Hannover</t>
  </si>
  <si>
    <t>Polonia</t>
  </si>
  <si>
    <t>Ecuador</t>
  </si>
  <si>
    <t>POSICIONES</t>
  </si>
  <si>
    <t>J</t>
  </si>
  <si>
    <t>G</t>
  </si>
  <si>
    <t>E</t>
  </si>
  <si>
    <t>P</t>
  </si>
  <si>
    <t>GF</t>
  </si>
  <si>
    <t>GC</t>
  </si>
  <si>
    <t>DIF</t>
  </si>
  <si>
    <t>PTS</t>
  </si>
  <si>
    <r>
      <t>avanza a octavos de final</t>
    </r>
    <r>
      <rPr>
        <b/>
        <sz val="8"/>
        <color indexed="60"/>
        <rFont val="Wingdings"/>
        <charset val="2"/>
      </rPr>
      <t>Ø</t>
    </r>
  </si>
  <si>
    <t>fecha y hora actual:</t>
  </si>
  <si>
    <r>
      <t xml:space="preserve">GRUPO </t>
    </r>
    <r>
      <rPr>
        <b/>
        <sz val="22"/>
        <color indexed="47"/>
        <rFont val="Arial"/>
        <family val="2"/>
      </rPr>
      <t>B</t>
    </r>
  </si>
  <si>
    <t>Frankfurt</t>
  </si>
  <si>
    <t>Inglaterra</t>
  </si>
  <si>
    <t>Nuremberg</t>
  </si>
  <si>
    <t>Paraguay</t>
  </si>
  <si>
    <t>Colonia</t>
  </si>
  <si>
    <t>Kaiserlautern</t>
  </si>
  <si>
    <t>Trinidad. y Tobago</t>
  </si>
  <si>
    <t>Suecia</t>
  </si>
  <si>
    <r>
      <t xml:space="preserve">avanza a octavos de final </t>
    </r>
    <r>
      <rPr>
        <b/>
        <sz val="8"/>
        <color indexed="60"/>
        <rFont val="Wingdings"/>
        <charset val="2"/>
      </rPr>
      <t>Ø</t>
    </r>
  </si>
  <si>
    <r>
      <t xml:space="preserve">GRUPO </t>
    </r>
    <r>
      <rPr>
        <b/>
        <sz val="22"/>
        <color indexed="47"/>
        <rFont val="Arial"/>
        <family val="2"/>
      </rPr>
      <t>C</t>
    </r>
  </si>
  <si>
    <t>Leipzig</t>
  </si>
  <si>
    <t>Argentina</t>
  </si>
  <si>
    <t>Stuttgart</t>
  </si>
  <si>
    <t>Costa de Marfil</t>
  </si>
  <si>
    <t>Serbia y Montenegro</t>
  </si>
  <si>
    <t>Holanda</t>
  </si>
  <si>
    <r>
      <t xml:space="preserve">GRUPO </t>
    </r>
    <r>
      <rPr>
        <b/>
        <sz val="22"/>
        <color indexed="47"/>
        <rFont val="Arial"/>
        <family val="2"/>
      </rPr>
      <t>D</t>
    </r>
  </si>
  <si>
    <t>Mexico</t>
  </si>
  <si>
    <t>Iran</t>
  </si>
  <si>
    <t>Angola</t>
  </si>
  <si>
    <t>Portugal</t>
  </si>
  <si>
    <r>
      <t xml:space="preserve">GRUPO </t>
    </r>
    <r>
      <rPr>
        <b/>
        <sz val="22"/>
        <color indexed="47"/>
        <rFont val="Arial"/>
        <family val="2"/>
      </rPr>
      <t>E</t>
    </r>
  </si>
  <si>
    <t>Italia</t>
  </si>
  <si>
    <t>Ghana</t>
  </si>
  <si>
    <t>EE.UU.</t>
  </si>
  <si>
    <t>Rep. Checa</t>
  </si>
  <si>
    <r>
      <t xml:space="preserve">GRUPO </t>
    </r>
    <r>
      <rPr>
        <b/>
        <sz val="22"/>
        <color indexed="47"/>
        <rFont val="Arial"/>
        <family val="2"/>
      </rPr>
      <t>F</t>
    </r>
  </si>
  <si>
    <t>Berlín</t>
  </si>
  <si>
    <t>Brasil</t>
  </si>
  <si>
    <t>Croacia</t>
  </si>
  <si>
    <t>Australia</t>
  </si>
  <si>
    <t>Japon</t>
  </si>
  <si>
    <r>
      <t xml:space="preserve">GRUPO </t>
    </r>
    <r>
      <rPr>
        <b/>
        <sz val="22"/>
        <color indexed="47"/>
        <rFont val="Arial"/>
        <family val="2"/>
      </rPr>
      <t>G</t>
    </r>
  </si>
  <si>
    <t>Francia</t>
  </si>
  <si>
    <t>Suiza</t>
  </si>
  <si>
    <t>Corea del Sur</t>
  </si>
  <si>
    <t>Togo</t>
  </si>
  <si>
    <r>
      <t xml:space="preserve">GRUPO </t>
    </r>
    <r>
      <rPr>
        <b/>
        <sz val="22"/>
        <color indexed="47"/>
        <rFont val="Arial"/>
        <family val="2"/>
      </rPr>
      <t>H</t>
    </r>
  </si>
  <si>
    <t>España</t>
  </si>
  <si>
    <t>Ucrania</t>
  </si>
  <si>
    <t>Tunez</t>
  </si>
  <si>
    <t>Arabia Saudita</t>
  </si>
  <si>
    <t>ALEMANIA 2006 - Octavos de final</t>
  </si>
  <si>
    <t>sede / fecha / hora</t>
  </si>
  <si>
    <t>resultado</t>
  </si>
  <si>
    <t>penales</t>
  </si>
  <si>
    <t>a cuartos de final</t>
  </si>
  <si>
    <t>A</t>
  </si>
  <si>
    <t>B</t>
  </si>
  <si>
    <t>C</t>
  </si>
  <si>
    <t>D</t>
  </si>
  <si>
    <t>F</t>
  </si>
  <si>
    <t>H</t>
  </si>
  <si>
    <t>ALEMANIA 2006 - Cuartos de final</t>
  </si>
  <si>
    <t>a semifinal</t>
  </si>
  <si>
    <t>ALEMANIA 2006 - Semifinales</t>
  </si>
  <si>
    <t>final</t>
  </si>
  <si>
    <t>ALEMANIA 2006 - Final</t>
  </si>
  <si>
    <t>3er puesto</t>
  </si>
  <si>
    <t>F I N A L</t>
  </si>
  <si>
    <t>CAMPEON</t>
  </si>
  <si>
    <r>
      <t xml:space="preserve">Grupo </t>
    </r>
    <r>
      <rPr>
        <b/>
        <sz val="10"/>
        <color indexed="8"/>
        <rFont val="Arial"/>
        <family val="2"/>
      </rPr>
      <t>A</t>
    </r>
  </si>
  <si>
    <r>
      <t xml:space="preserve">Grupo </t>
    </r>
    <r>
      <rPr>
        <b/>
        <sz val="10"/>
        <color indexed="8"/>
        <rFont val="Arial"/>
        <family val="2"/>
      </rPr>
      <t>B</t>
    </r>
  </si>
  <si>
    <r>
      <t xml:space="preserve">Grupo </t>
    </r>
    <r>
      <rPr>
        <b/>
        <sz val="10"/>
        <color indexed="8"/>
        <rFont val="Arial"/>
        <family val="2"/>
      </rPr>
      <t>C</t>
    </r>
  </si>
  <si>
    <r>
      <t xml:space="preserve">Grupo </t>
    </r>
    <r>
      <rPr>
        <b/>
        <sz val="10"/>
        <color indexed="8"/>
        <rFont val="Arial"/>
        <family val="2"/>
      </rPr>
      <t>D</t>
    </r>
  </si>
  <si>
    <t>C. De Marfil</t>
  </si>
  <si>
    <t>T y Tobago</t>
  </si>
  <si>
    <t>Serbia y M.</t>
  </si>
  <si>
    <r>
      <t xml:space="preserve">Grupo </t>
    </r>
    <r>
      <rPr>
        <b/>
        <sz val="10"/>
        <color indexed="8"/>
        <rFont val="Arial"/>
        <family val="2"/>
      </rPr>
      <t>E</t>
    </r>
  </si>
  <si>
    <r>
      <t xml:space="preserve">Grupo </t>
    </r>
    <r>
      <rPr>
        <b/>
        <sz val="10"/>
        <color indexed="8"/>
        <rFont val="Arial"/>
        <family val="2"/>
      </rPr>
      <t>F</t>
    </r>
  </si>
  <si>
    <r>
      <t xml:space="preserve">Grupo </t>
    </r>
    <r>
      <rPr>
        <b/>
        <sz val="10"/>
        <color indexed="8"/>
        <rFont val="Arial"/>
        <family val="2"/>
      </rPr>
      <t>G</t>
    </r>
  </si>
  <si>
    <r>
      <t xml:space="preserve">Grupo </t>
    </r>
    <r>
      <rPr>
        <b/>
        <sz val="10"/>
        <color indexed="8"/>
        <rFont val="Arial"/>
        <family val="2"/>
      </rPr>
      <t>H</t>
    </r>
  </si>
  <si>
    <t>EEUU</t>
  </si>
  <si>
    <t>Rep Checa</t>
  </si>
  <si>
    <t>Corea</t>
  </si>
  <si>
    <t>Arabia S.</t>
  </si>
  <si>
    <t>1A</t>
  </si>
  <si>
    <t>2B</t>
  </si>
  <si>
    <t>Cuartos de Final</t>
  </si>
  <si>
    <t>1B</t>
  </si>
  <si>
    <t>2A</t>
  </si>
  <si>
    <t>Semifinal</t>
  </si>
  <si>
    <t>1E</t>
  </si>
  <si>
    <t>2F</t>
  </si>
  <si>
    <t>Final</t>
  </si>
  <si>
    <t>1F</t>
  </si>
  <si>
    <t>2E</t>
  </si>
  <si>
    <t>3er Puesto</t>
  </si>
  <si>
    <t>1C</t>
  </si>
  <si>
    <t>2D</t>
  </si>
  <si>
    <t>1D</t>
  </si>
  <si>
    <t>2C</t>
  </si>
  <si>
    <t>1G</t>
  </si>
  <si>
    <t>2H</t>
  </si>
  <si>
    <t>1H</t>
  </si>
  <si>
    <t>2G</t>
  </si>
  <si>
    <t>resultados</t>
  </si>
  <si>
    <t>no jugados</t>
  </si>
  <si>
    <t>p</t>
  </si>
  <si>
    <t>w</t>
  </si>
  <si>
    <t>d</t>
  </si>
  <si>
    <t>l</t>
  </si>
  <si>
    <t>f</t>
  </si>
  <si>
    <t>a</t>
  </si>
  <si>
    <t>tabla preliminar</t>
  </si>
  <si>
    <t>pts</t>
  </si>
  <si>
    <t>sort 1-2=====</t>
  </si>
  <si>
    <t>sort 1-3=====</t>
  </si>
  <si>
    <t>sort 1-4=====</t>
  </si>
  <si>
    <t>sort 2-3=====</t>
  </si>
  <si>
    <t>sort 2-4=====</t>
  </si>
  <si>
    <t>sort 3-4=====</t>
  </si>
  <si>
    <t>tabla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</si>
</sst>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hh:mm"/>
    <numFmt numFmtId="165" formatCode="dd/mmm"/>
    <numFmt numFmtId="166" formatCode="dd/mm/yy\ hh:mm"/>
    <numFmt numFmtId="167" formatCode="d&quot; de &quot;mmm"/>
    <numFmt numFmtId="168" formatCode="hh:mm:ss"/>
  </numFmts>
  <fonts count="82" x14ac:knownFonts="1">
    <font>
      <sz val="10"/>
      <name val="Arial"/>
    </font>
    <font>
      <b/>
      <sz val="20"/>
      <color indexed="53"/>
      <name val="Arial Narrow"/>
      <family val="2"/>
    </font>
    <font>
      <b/>
      <sz val="12"/>
      <color indexed="52"/>
      <name val="Verdana"/>
      <family val="2"/>
    </font>
    <font>
      <b/>
      <sz val="20"/>
      <color indexed="52"/>
      <name val="Verdana"/>
      <family val="2"/>
    </font>
    <font>
      <b/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indexed="12"/>
      <name val="Arial"/>
      <family val="2"/>
    </font>
    <font>
      <sz val="6"/>
      <color indexed="52"/>
      <name val="Arial"/>
      <family val="2"/>
    </font>
    <font>
      <sz val="10"/>
      <color indexed="52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52"/>
      <name val="Arial"/>
      <family val="2"/>
    </font>
    <font>
      <sz val="36"/>
      <color indexed="47"/>
      <name val="Haettenschweiler"/>
      <family val="2"/>
    </font>
    <font>
      <i/>
      <sz val="16"/>
      <color indexed="47"/>
      <name val="Verdana"/>
      <family val="2"/>
    </font>
    <font>
      <b/>
      <sz val="10"/>
      <color indexed="60"/>
      <name val="Arial"/>
      <family val="2"/>
    </font>
    <font>
      <sz val="20"/>
      <color indexed="47"/>
      <name val="Verdana"/>
      <family val="2"/>
    </font>
    <font>
      <b/>
      <sz val="22"/>
      <color indexed="47"/>
      <name val="Verdana"/>
      <family val="2"/>
    </font>
    <font>
      <i/>
      <sz val="8"/>
      <color indexed="60"/>
      <name val="Arial"/>
      <family val="2"/>
    </font>
    <font>
      <sz val="10"/>
      <name val="Wingdings"/>
      <charset val="2"/>
    </font>
    <font>
      <sz val="10"/>
      <color indexed="60"/>
      <name val="Arial"/>
      <family val="2"/>
    </font>
    <font>
      <b/>
      <sz val="10"/>
      <color indexed="53"/>
      <name val="Arial"/>
      <family val="2"/>
    </font>
    <font>
      <sz val="10"/>
      <color indexed="10"/>
      <name val="Arial"/>
      <family val="2"/>
    </font>
    <font>
      <sz val="10"/>
      <color indexed="60"/>
      <name val="Arial Narrow"/>
      <family val="2"/>
    </font>
    <font>
      <b/>
      <sz val="8"/>
      <color indexed="60"/>
      <name val="Arial Narrow"/>
      <family val="2"/>
    </font>
    <font>
      <b/>
      <i/>
      <sz val="20"/>
      <color indexed="47"/>
      <name val="Arial"/>
      <family val="2"/>
    </font>
    <font>
      <b/>
      <i/>
      <sz val="20"/>
      <name val="Arial"/>
      <family val="2"/>
    </font>
    <font>
      <b/>
      <sz val="10"/>
      <color indexed="52"/>
      <name val="Arial Narrow"/>
      <family val="2"/>
    </font>
    <font>
      <b/>
      <i/>
      <sz val="24"/>
      <color indexed="47"/>
      <name val="Arial"/>
      <family val="2"/>
    </font>
    <font>
      <b/>
      <i/>
      <sz val="24"/>
      <name val="Arial"/>
      <family val="2"/>
    </font>
    <font>
      <i/>
      <sz val="7"/>
      <color indexed="60"/>
      <name val="Arial"/>
      <family val="2"/>
    </font>
    <font>
      <sz val="6"/>
      <name val="Arial Narrow"/>
      <family val="2"/>
    </font>
    <font>
      <sz val="8"/>
      <name val="Arial"/>
      <family val="2"/>
    </font>
    <font>
      <sz val="7"/>
      <color indexed="60"/>
      <name val="Arial"/>
      <family val="2"/>
    </font>
    <font>
      <sz val="8"/>
      <color indexed="47"/>
      <name val="Arial Narrow"/>
      <family val="2"/>
    </font>
    <font>
      <b/>
      <sz val="8"/>
      <color indexed="60"/>
      <name val="Wingdings"/>
      <charset val="2"/>
    </font>
    <font>
      <i/>
      <sz val="8"/>
      <color indexed="10"/>
      <name val="Arial"/>
      <family val="2"/>
    </font>
    <font>
      <i/>
      <sz val="10"/>
      <name val="Arial"/>
      <family val="2"/>
    </font>
    <font>
      <i/>
      <sz val="8"/>
      <color indexed="53"/>
      <name val="Arial"/>
      <family val="2"/>
    </font>
    <font>
      <i/>
      <sz val="8"/>
      <color indexed="53"/>
      <name val="Arial Narrow"/>
      <family val="2"/>
    </font>
    <font>
      <sz val="10"/>
      <color indexed="9"/>
      <name val="Arial"/>
      <family val="2"/>
    </font>
    <font>
      <sz val="10"/>
      <color indexed="47"/>
      <name val="Arial"/>
      <family val="2"/>
    </font>
    <font>
      <sz val="20"/>
      <color indexed="47"/>
      <name val="Arial"/>
      <family val="2"/>
    </font>
    <font>
      <b/>
      <sz val="22"/>
      <color indexed="47"/>
      <name val="Arial"/>
      <family val="2"/>
    </font>
    <font>
      <b/>
      <sz val="8"/>
      <color indexed="60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sz val="8"/>
      <name val="Arial"/>
      <family val="2"/>
    </font>
    <font>
      <sz val="9"/>
      <color indexed="52"/>
      <name val="Arial"/>
      <family val="2"/>
    </font>
    <font>
      <b/>
      <sz val="9"/>
      <color indexed="52"/>
      <name val="Arial"/>
      <family val="2"/>
    </font>
    <font>
      <sz val="7"/>
      <color indexed="16"/>
      <name val="Arial Narrow"/>
      <family val="2"/>
    </font>
    <font>
      <sz val="8"/>
      <color indexed="60"/>
      <name val="Arial Narrow"/>
      <family val="2"/>
    </font>
    <font>
      <sz val="8"/>
      <color indexed="52"/>
      <name val="Arial"/>
      <family val="2"/>
    </font>
    <font>
      <b/>
      <sz val="9"/>
      <color indexed="60"/>
      <name val="Arial"/>
      <family val="2"/>
    </font>
    <font>
      <sz val="10"/>
      <name val="Arial Narrow"/>
      <family val="2"/>
    </font>
    <font>
      <sz val="11"/>
      <color indexed="52"/>
      <name val="Arial"/>
      <family val="2"/>
    </font>
    <font>
      <b/>
      <sz val="11"/>
      <color indexed="52"/>
      <name val="Arial"/>
      <family val="2"/>
    </font>
    <font>
      <sz val="8"/>
      <color indexed="16"/>
      <name val="Arial Narrow"/>
      <family val="2"/>
    </font>
    <font>
      <b/>
      <sz val="11"/>
      <color indexed="60"/>
      <name val="Arial"/>
      <family val="2"/>
    </font>
    <font>
      <sz val="8"/>
      <color indexed="52"/>
      <name val="Arial"/>
      <family val="2"/>
    </font>
    <font>
      <sz val="12"/>
      <color indexed="52"/>
      <name val="Arial"/>
      <family val="2"/>
    </font>
    <font>
      <b/>
      <sz val="12"/>
      <color indexed="52"/>
      <name val="Arial"/>
      <family val="2"/>
    </font>
    <font>
      <sz val="11"/>
      <color indexed="60"/>
      <name val="Arial Narrow"/>
      <family val="2"/>
    </font>
    <font>
      <b/>
      <sz val="11"/>
      <color indexed="52"/>
      <name val="Arial Narrow"/>
      <family val="2"/>
    </font>
    <font>
      <b/>
      <sz val="12"/>
      <color indexed="60"/>
      <name val="Arial"/>
      <family val="2"/>
    </font>
    <font>
      <b/>
      <i/>
      <sz val="12"/>
      <color indexed="52"/>
      <name val="Arial"/>
      <family val="2"/>
    </font>
    <font>
      <sz val="8"/>
      <color indexed="60"/>
      <name val="Arial"/>
      <family val="2"/>
    </font>
    <font>
      <sz val="10"/>
      <color indexed="60"/>
      <name val="Wingdings"/>
      <charset val="2"/>
    </font>
    <font>
      <sz val="12"/>
      <color indexed="60"/>
      <name val="Arial"/>
      <family val="2"/>
    </font>
    <font>
      <b/>
      <sz val="12"/>
      <color indexed="16"/>
      <name val="Arial"/>
      <family val="2"/>
    </font>
    <font>
      <b/>
      <i/>
      <sz val="14"/>
      <color indexed="53"/>
      <name val="Arial"/>
      <family val="2"/>
    </font>
    <font>
      <sz val="11"/>
      <name val="Arial"/>
      <family val="2"/>
    </font>
    <font>
      <sz val="9"/>
      <color indexed="16"/>
      <name val="Arial"/>
      <family val="2"/>
    </font>
    <font>
      <sz val="12"/>
      <color indexed="60"/>
      <name val="Wingdings"/>
      <charset val="2"/>
    </font>
    <font>
      <sz val="12"/>
      <color indexed="60"/>
      <name val="Arial Narrow"/>
      <family val="2"/>
    </font>
    <font>
      <b/>
      <sz val="12"/>
      <color indexed="52"/>
      <name val="Arial Narrow"/>
      <family val="2"/>
    </font>
    <font>
      <b/>
      <sz val="16"/>
      <color indexed="47"/>
      <name val="Arial"/>
      <family val="2"/>
    </font>
    <font>
      <b/>
      <sz val="12"/>
      <color indexed="60"/>
      <name val="Arial Narrow"/>
      <family val="2"/>
    </font>
    <font>
      <b/>
      <sz val="8"/>
      <name val="Arial"/>
      <family val="2"/>
    </font>
    <font>
      <b/>
      <sz val="8"/>
      <color indexed="5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7"/>
        <bgColor indexed="51"/>
      </patternFill>
    </fill>
    <fill>
      <patternFill patternType="solid">
        <fgColor indexed="52"/>
        <bgColor indexed="53"/>
      </patternFill>
    </fill>
    <fill>
      <patternFill patternType="solid">
        <fgColor indexed="51"/>
        <bgColor indexed="47"/>
      </patternFill>
    </fill>
  </fills>
  <borders count="22">
    <border>
      <left/>
      <right/>
      <top/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52"/>
      </left>
      <right/>
      <top/>
      <bottom/>
      <diagonal/>
    </border>
    <border>
      <left/>
      <right/>
      <top style="thin">
        <color indexed="52"/>
      </top>
      <bottom/>
      <diagonal/>
    </border>
    <border>
      <left/>
      <right/>
      <top/>
      <bottom style="thin">
        <color indexed="52"/>
      </bottom>
      <diagonal/>
    </border>
    <border>
      <left/>
      <right/>
      <top style="thin">
        <color indexed="52"/>
      </top>
      <bottom style="thin">
        <color indexed="52"/>
      </bottom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2"/>
      </left>
      <right/>
      <top style="thin">
        <color indexed="52"/>
      </top>
      <bottom/>
      <diagonal/>
    </border>
    <border>
      <left/>
      <right style="thin">
        <color indexed="52"/>
      </right>
      <top/>
      <bottom style="thin">
        <color indexed="52"/>
      </bottom>
      <diagonal/>
    </border>
    <border>
      <left style="thin">
        <color indexed="52"/>
      </left>
      <right/>
      <top/>
      <bottom style="thin">
        <color indexed="53"/>
      </bottom>
      <diagonal/>
    </border>
    <border>
      <left/>
      <right/>
      <top style="thin">
        <color indexed="53"/>
      </top>
      <bottom/>
      <diagonal/>
    </border>
    <border>
      <left style="thin">
        <color indexed="52"/>
      </left>
      <right/>
      <top/>
      <bottom style="thin">
        <color indexed="52"/>
      </bottom>
      <diagonal/>
    </border>
    <border>
      <left/>
      <right style="thin">
        <color indexed="52"/>
      </right>
      <top style="thin">
        <color indexed="52"/>
      </top>
      <bottom style="thin">
        <color indexed="52"/>
      </bottom>
      <diagonal/>
    </border>
    <border>
      <left/>
      <right style="thin">
        <color indexed="52"/>
      </right>
      <top/>
      <bottom/>
      <diagonal/>
    </border>
    <border>
      <left style="medium">
        <color indexed="52"/>
      </left>
      <right style="medium">
        <color indexed="52"/>
      </right>
      <top style="medium">
        <color indexed="52"/>
      </top>
      <bottom style="medium">
        <color indexed="52"/>
      </bottom>
      <diagonal/>
    </border>
    <border>
      <left style="medium">
        <color indexed="53"/>
      </left>
      <right style="medium">
        <color indexed="53"/>
      </right>
      <top style="medium">
        <color indexed="53"/>
      </top>
      <bottom style="medium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21">
    <xf numFmtId="0" fontId="0" fillId="0" borderId="0" xfId="0"/>
    <xf numFmtId="0" fontId="0" fillId="2" borderId="0" xfId="0" applyFill="1" applyProtection="1"/>
    <xf numFmtId="0" fontId="0" fillId="2" borderId="0" xfId="0" applyFill="1" applyAlignment="1" applyProtection="1">
      <alignment horizontal="center"/>
    </xf>
    <xf numFmtId="0" fontId="0" fillId="2" borderId="0" xfId="0" applyFill="1" applyAlignment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0" fillId="2" borderId="0" xfId="0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/>
    </xf>
    <xf numFmtId="0" fontId="8" fillId="2" borderId="0" xfId="0" applyFont="1" applyFill="1" applyAlignment="1" applyProtection="1">
      <alignment horizontal="center"/>
    </xf>
    <xf numFmtId="0" fontId="9" fillId="2" borderId="0" xfId="0" applyFont="1" applyFill="1" applyProtection="1"/>
    <xf numFmtId="0" fontId="13" fillId="2" borderId="0" xfId="0" applyFont="1" applyFill="1" applyAlignment="1" applyProtection="1"/>
    <xf numFmtId="0" fontId="5" fillId="2" borderId="0" xfId="1" applyFill="1" applyAlignment="1" applyProtection="1">
      <alignment horizontal="center"/>
    </xf>
    <xf numFmtId="0" fontId="0" fillId="4" borderId="0" xfId="0" applyFill="1"/>
    <xf numFmtId="0" fontId="16" fillId="5" borderId="0" xfId="0" applyFont="1" applyFill="1" applyAlignment="1">
      <alignment vertical="center"/>
    </xf>
    <xf numFmtId="0" fontId="0" fillId="5" borderId="0" xfId="0" applyFill="1"/>
    <xf numFmtId="0" fontId="16" fillId="5" borderId="0" xfId="0" applyFont="1" applyFill="1" applyAlignment="1">
      <alignment horizontal="center" vertical="center"/>
    </xf>
    <xf numFmtId="0" fontId="0" fillId="4" borderId="2" xfId="0" applyFill="1" applyBorder="1"/>
    <xf numFmtId="164" fontId="0" fillId="4" borderId="0" xfId="0" applyNumberFormat="1" applyFill="1" applyBorder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4" borderId="0" xfId="0" applyFill="1" applyBorder="1"/>
    <xf numFmtId="0" fontId="20" fillId="4" borderId="0" xfId="0" applyFont="1" applyFill="1" applyBorder="1" applyAlignment="1">
      <alignment horizontal="center"/>
    </xf>
    <xf numFmtId="0" fontId="21" fillId="4" borderId="0" xfId="0" applyFont="1" applyFill="1" applyAlignment="1">
      <alignment horizontal="right" vertical="center"/>
    </xf>
    <xf numFmtId="0" fontId="22" fillId="4" borderId="5" xfId="0" applyFont="1" applyFill="1" applyBorder="1" applyAlignment="1">
      <alignment horizontal="right" vertical="center"/>
    </xf>
    <xf numFmtId="0" fontId="23" fillId="4" borderId="6" xfId="0" applyFont="1" applyFill="1" applyBorder="1" applyAlignment="1" applyProtection="1">
      <alignment horizontal="center" vertical="center"/>
      <protection locked="0"/>
    </xf>
    <xf numFmtId="0" fontId="24" fillId="4" borderId="6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vertical="center"/>
    </xf>
    <xf numFmtId="165" fontId="25" fillId="4" borderId="5" xfId="0" applyNumberFormat="1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/>
    </xf>
    <xf numFmtId="0" fontId="0" fillId="4" borderId="5" xfId="0" applyFill="1" applyBorder="1" applyProtection="1"/>
    <xf numFmtId="0" fontId="30" fillId="4" borderId="0" xfId="0" applyFont="1" applyFill="1" applyAlignment="1">
      <alignment horizontal="center"/>
    </xf>
    <xf numFmtId="0" fontId="31" fillId="4" borderId="0" xfId="0" applyFont="1" applyFill="1" applyAlignment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vertical="center"/>
    </xf>
    <xf numFmtId="0" fontId="0" fillId="4" borderId="2" xfId="0" applyFill="1" applyBorder="1" applyAlignment="1" applyProtection="1">
      <alignment vertical="center"/>
    </xf>
    <xf numFmtId="0" fontId="0" fillId="4" borderId="0" xfId="0" applyFill="1" applyBorder="1" applyAlignment="1">
      <alignment horizontal="right"/>
    </xf>
    <xf numFmtId="0" fontId="7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32" fillId="4" borderId="0" xfId="0" applyFont="1" applyFill="1" applyBorder="1" applyAlignment="1">
      <alignment horizontal="left"/>
    </xf>
    <xf numFmtId="164" fontId="33" fillId="4" borderId="7" xfId="0" applyNumberFormat="1" applyFont="1" applyFill="1" applyBorder="1" applyAlignment="1">
      <alignment horizontal="left" vertical="top"/>
    </xf>
    <xf numFmtId="166" fontId="34" fillId="4" borderId="0" xfId="0" applyNumberFormat="1" applyFont="1" applyFill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0" fontId="29" fillId="4" borderId="0" xfId="0" applyFont="1" applyFill="1" applyBorder="1" applyAlignment="1" applyProtection="1">
      <alignment horizontal="center" vertical="center"/>
      <protection locked="0"/>
    </xf>
    <xf numFmtId="0" fontId="29" fillId="4" borderId="7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/>
    <xf numFmtId="0" fontId="35" fillId="4" borderId="0" xfId="0" applyFont="1" applyFill="1" applyAlignment="1">
      <alignment horizontal="center"/>
    </xf>
    <xf numFmtId="0" fontId="36" fillId="4" borderId="0" xfId="0" applyFont="1" applyFill="1" applyAlignment="1">
      <alignment horizontal="right" vertical="center"/>
    </xf>
    <xf numFmtId="0" fontId="25" fillId="4" borderId="5" xfId="0" applyFont="1" applyFill="1" applyBorder="1" applyAlignment="1">
      <alignment vertical="center"/>
    </xf>
    <xf numFmtId="0" fontId="38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0" fillId="4" borderId="2" xfId="0" applyFill="1" applyBorder="1" applyAlignment="1">
      <alignment vertical="center"/>
    </xf>
    <xf numFmtId="0" fontId="13" fillId="4" borderId="0" xfId="0" applyFont="1" applyFill="1" applyAlignment="1">
      <alignment vertical="center"/>
    </xf>
    <xf numFmtId="0" fontId="13" fillId="4" borderId="2" xfId="0" applyFont="1" applyFill="1" applyBorder="1" applyAlignment="1">
      <alignment vertical="center"/>
    </xf>
    <xf numFmtId="0" fontId="13" fillId="4" borderId="0" xfId="0" applyFont="1" applyFill="1"/>
    <xf numFmtId="0" fontId="13" fillId="4" borderId="2" xfId="0" applyFont="1" applyFill="1" applyBorder="1"/>
    <xf numFmtId="0" fontId="0" fillId="4" borderId="9" xfId="0" applyFill="1" applyBorder="1"/>
    <xf numFmtId="0" fontId="20" fillId="4" borderId="0" xfId="0" applyFont="1" applyFill="1"/>
    <xf numFmtId="0" fontId="9" fillId="4" borderId="0" xfId="0" applyFont="1" applyFill="1"/>
    <xf numFmtId="0" fontId="39" fillId="4" borderId="0" xfId="0" applyFont="1" applyFill="1"/>
    <xf numFmtId="0" fontId="40" fillId="4" borderId="0" xfId="0" applyFont="1" applyFill="1" applyAlignment="1">
      <alignment horizontal="right"/>
    </xf>
    <xf numFmtId="167" fontId="41" fillId="4" borderId="10" xfId="0" applyNumberFormat="1" applyFont="1" applyFill="1" applyBorder="1" applyAlignment="1">
      <alignment horizontal="right"/>
    </xf>
    <xf numFmtId="164" fontId="40" fillId="4" borderId="10" xfId="0" applyNumberFormat="1" applyFont="1" applyFill="1" applyBorder="1" applyAlignment="1">
      <alignment horizontal="center"/>
    </xf>
    <xf numFmtId="0" fontId="42" fillId="4" borderId="0" xfId="0" applyFont="1" applyFill="1"/>
    <xf numFmtId="0" fontId="0" fillId="0" borderId="0" xfId="0" applyFill="1"/>
    <xf numFmtId="0" fontId="13" fillId="0" borderId="0" xfId="0" applyFont="1" applyFill="1"/>
    <xf numFmtId="0" fontId="43" fillId="0" borderId="0" xfId="0" applyFont="1" applyFill="1"/>
    <xf numFmtId="0" fontId="42" fillId="0" borderId="0" xfId="0" applyFont="1" applyFill="1"/>
    <xf numFmtId="168" fontId="43" fillId="0" borderId="0" xfId="0" applyNumberFormat="1" applyFont="1" applyFill="1"/>
    <xf numFmtId="0" fontId="29" fillId="4" borderId="2" xfId="0" applyFont="1" applyFill="1" applyBorder="1" applyAlignment="1" applyProtection="1">
      <alignment horizontal="center" vertical="center"/>
      <protection locked="0"/>
    </xf>
    <xf numFmtId="0" fontId="43" fillId="4" borderId="0" xfId="0" applyFont="1" applyFill="1"/>
    <xf numFmtId="168" fontId="43" fillId="4" borderId="0" xfId="0" applyNumberFormat="1" applyFont="1" applyFill="1"/>
    <xf numFmtId="0" fontId="28" fillId="4" borderId="0" xfId="0" applyFont="1" applyFill="1" applyAlignment="1" applyProtection="1">
      <alignment horizontal="center"/>
    </xf>
    <xf numFmtId="0" fontId="31" fillId="4" borderId="0" xfId="0" applyFont="1" applyFill="1" applyAlignment="1" applyProtection="1">
      <alignment horizontal="center"/>
    </xf>
    <xf numFmtId="0" fontId="15" fillId="5" borderId="0" xfId="0" applyFont="1" applyFill="1" applyAlignment="1">
      <alignment vertical="center"/>
    </xf>
    <xf numFmtId="0" fontId="16" fillId="5" borderId="0" xfId="0" applyFont="1" applyFill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0" fontId="0" fillId="5" borderId="0" xfId="0" applyFill="1" applyAlignment="1">
      <alignment vertical="center"/>
    </xf>
    <xf numFmtId="0" fontId="0" fillId="4" borderId="0" xfId="0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0" fillId="4" borderId="11" xfId="0" applyFill="1" applyBorder="1" applyAlignment="1" applyProtection="1">
      <alignment vertical="center"/>
    </xf>
    <xf numFmtId="0" fontId="0" fillId="4" borderId="4" xfId="0" applyFill="1" applyBorder="1" applyAlignment="1" applyProtection="1">
      <alignment vertical="center"/>
    </xf>
    <xf numFmtId="167" fontId="41" fillId="4" borderId="0" xfId="0" applyNumberFormat="1" applyFont="1" applyFill="1" applyBorder="1" applyAlignment="1" applyProtection="1">
      <alignment horizontal="right"/>
    </xf>
    <xf numFmtId="164" fontId="40" fillId="4" borderId="0" xfId="0" applyNumberFormat="1" applyFont="1" applyFill="1" applyBorder="1" applyAlignment="1" applyProtection="1">
      <alignment horizontal="center"/>
    </xf>
    <xf numFmtId="0" fontId="23" fillId="4" borderId="0" xfId="1" applyNumberFormat="1" applyFont="1" applyFill="1" applyBorder="1" applyAlignment="1" applyProtection="1">
      <alignment vertical="center"/>
    </xf>
    <xf numFmtId="0" fontId="46" fillId="6" borderId="3" xfId="0" applyFont="1" applyFill="1" applyBorder="1" applyAlignment="1" applyProtection="1">
      <alignment horizontal="center"/>
    </xf>
    <xf numFmtId="0" fontId="47" fillId="6" borderId="3" xfId="0" applyFont="1" applyFill="1" applyBorder="1" applyAlignment="1" applyProtection="1"/>
    <xf numFmtId="0" fontId="9" fillId="4" borderId="0" xfId="0" applyFont="1" applyFill="1" applyProtection="1"/>
    <xf numFmtId="0" fontId="48" fillId="4" borderId="0" xfId="0" applyFont="1" applyFill="1" applyAlignment="1" applyProtection="1">
      <alignment horizontal="right" vertical="center"/>
    </xf>
    <xf numFmtId="0" fontId="49" fillId="4" borderId="0" xfId="0" applyFont="1" applyFill="1" applyAlignment="1" applyProtection="1">
      <alignment vertical="center"/>
    </xf>
    <xf numFmtId="0" fontId="50" fillId="4" borderId="6" xfId="0" applyFont="1" applyFill="1" applyBorder="1" applyAlignment="1" applyProtection="1">
      <alignment horizontal="right" vertical="center"/>
    </xf>
    <xf numFmtId="0" fontId="51" fillId="4" borderId="6" xfId="0" applyFont="1" applyFill="1" applyBorder="1" applyAlignment="1" applyProtection="1">
      <alignment horizontal="center" vertical="center"/>
      <protection locked="0"/>
    </xf>
    <xf numFmtId="0" fontId="52" fillId="4" borderId="4" xfId="0" applyFont="1" applyFill="1" applyBorder="1" applyAlignment="1" applyProtection="1">
      <alignment horizontal="center" vertical="center"/>
      <protection locked="0"/>
    </xf>
    <xf numFmtId="0" fontId="49" fillId="4" borderId="4" xfId="0" applyFont="1" applyFill="1" applyBorder="1" applyAlignment="1" applyProtection="1">
      <alignment vertical="center"/>
    </xf>
    <xf numFmtId="0" fontId="53" fillId="4" borderId="0" xfId="0" applyFont="1" applyFill="1" applyAlignment="1" applyProtection="1">
      <alignment horizontal="right" vertical="center"/>
    </xf>
    <xf numFmtId="0" fontId="53" fillId="4" borderId="0" xfId="0" applyFont="1" applyFill="1" applyAlignment="1" applyProtection="1">
      <alignment horizontal="center" vertical="center"/>
    </xf>
    <xf numFmtId="165" fontId="53" fillId="4" borderId="0" xfId="0" applyNumberFormat="1" applyFont="1" applyFill="1" applyAlignment="1" applyProtection="1">
      <alignment horizontal="right" vertical="center"/>
    </xf>
    <xf numFmtId="164" fontId="53" fillId="4" borderId="0" xfId="0" applyNumberFormat="1" applyFont="1" applyFill="1" applyAlignment="1" applyProtection="1">
      <alignment horizontal="center" vertical="center"/>
    </xf>
    <xf numFmtId="0" fontId="26" fillId="4" borderId="0" xfId="0" applyFont="1" applyFill="1" applyAlignment="1" applyProtection="1">
      <alignment vertical="center"/>
    </xf>
    <xf numFmtId="0" fontId="54" fillId="4" borderId="0" xfId="0" applyFont="1" applyFill="1" applyAlignment="1" applyProtection="1">
      <alignment vertical="center"/>
    </xf>
    <xf numFmtId="0" fontId="49" fillId="4" borderId="5" xfId="0" applyFont="1" applyFill="1" applyBorder="1" applyAlignment="1" applyProtection="1">
      <alignment vertical="center"/>
    </xf>
    <xf numFmtId="0" fontId="49" fillId="4" borderId="12" xfId="0" applyFont="1" applyFill="1" applyBorder="1" applyAlignment="1" applyProtection="1">
      <alignment vertical="center"/>
    </xf>
    <xf numFmtId="0" fontId="49" fillId="4" borderId="0" xfId="0" applyFont="1" applyFill="1" applyBorder="1" applyAlignment="1" applyProtection="1">
      <alignment vertical="center"/>
    </xf>
    <xf numFmtId="0" fontId="55" fillId="4" borderId="6" xfId="0" applyFont="1" applyFill="1" applyBorder="1" applyAlignment="1" applyProtection="1">
      <alignment vertical="center"/>
    </xf>
    <xf numFmtId="0" fontId="49" fillId="4" borderId="0" xfId="0" applyFont="1" applyFill="1" applyAlignment="1" applyProtection="1">
      <alignment horizontal="center" vertical="center"/>
    </xf>
    <xf numFmtId="0" fontId="52" fillId="4" borderId="7" xfId="0" applyFont="1" applyFill="1" applyBorder="1" applyAlignment="1" applyProtection="1">
      <alignment horizontal="center" vertical="center"/>
      <protection locked="0"/>
    </xf>
    <xf numFmtId="0" fontId="49" fillId="4" borderId="3" xfId="0" applyFont="1" applyFill="1" applyBorder="1" applyAlignment="1" applyProtection="1">
      <alignment vertical="center"/>
    </xf>
    <xf numFmtId="0" fontId="43" fillId="0" borderId="0" xfId="0" applyFont="1" applyFill="1" applyProtection="1"/>
    <xf numFmtId="168" fontId="43" fillId="0" borderId="0" xfId="0" applyNumberFormat="1" applyFont="1" applyFill="1" applyProtection="1"/>
    <xf numFmtId="0" fontId="0" fillId="4" borderId="0" xfId="0" applyFill="1" applyAlignment="1" applyProtection="1">
      <alignment horizontal="center" vertical="center"/>
    </xf>
    <xf numFmtId="0" fontId="56" fillId="4" borderId="0" xfId="0" applyFont="1" applyFill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57" fillId="4" borderId="6" xfId="0" applyFont="1" applyFill="1" applyBorder="1" applyAlignment="1" applyProtection="1">
      <alignment horizontal="right" vertical="center"/>
    </xf>
    <xf numFmtId="0" fontId="58" fillId="4" borderId="6" xfId="0" applyFont="1" applyFill="1" applyBorder="1" applyAlignment="1" applyProtection="1">
      <alignment horizontal="center" vertical="center"/>
      <protection locked="0"/>
    </xf>
    <xf numFmtId="0" fontId="59" fillId="4" borderId="4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right" vertical="center"/>
    </xf>
    <xf numFmtId="0" fontId="25" fillId="4" borderId="0" xfId="0" applyFont="1" applyFill="1" applyAlignment="1" applyProtection="1">
      <alignment horizontal="center" vertical="center"/>
    </xf>
    <xf numFmtId="165" fontId="25" fillId="4" borderId="0" xfId="0" applyNumberFormat="1" applyFont="1" applyFill="1" applyAlignment="1" applyProtection="1">
      <alignment horizontal="right" vertical="center"/>
    </xf>
    <xf numFmtId="164" fontId="25" fillId="4" borderId="0" xfId="0" applyNumberFormat="1" applyFont="1" applyFill="1" applyAlignment="1" applyProtection="1">
      <alignment horizontal="center" vertical="center"/>
    </xf>
    <xf numFmtId="0" fontId="29" fillId="4" borderId="0" xfId="0" applyFont="1" applyFill="1" applyAlignment="1" applyProtection="1">
      <alignment vertical="center"/>
    </xf>
    <xf numFmtId="0" fontId="57" fillId="4" borderId="0" xfId="0" applyFont="1" applyFill="1" applyAlignment="1" applyProtection="1">
      <alignment vertical="center"/>
    </xf>
    <xf numFmtId="0" fontId="60" fillId="4" borderId="6" xfId="0" applyFont="1" applyFill="1" applyBorder="1" applyAlignment="1" applyProtection="1">
      <alignment vertical="center"/>
    </xf>
    <xf numFmtId="0" fontId="0" fillId="4" borderId="0" xfId="0" applyFont="1" applyFill="1" applyAlignment="1" applyProtection="1">
      <alignment horizontal="center" vertical="center"/>
    </xf>
    <xf numFmtId="0" fontId="59" fillId="4" borderId="7" xfId="0" applyFont="1" applyFill="1" applyBorder="1" applyAlignment="1" applyProtection="1">
      <alignment horizontal="center" vertical="center"/>
      <protection locked="0"/>
    </xf>
    <xf numFmtId="0" fontId="61" fillId="4" borderId="0" xfId="0" applyFont="1" applyFill="1" applyAlignment="1" applyProtection="1">
      <alignment vertical="center"/>
    </xf>
    <xf numFmtId="167" fontId="41" fillId="4" borderId="0" xfId="0" applyNumberFormat="1" applyFont="1" applyFill="1" applyBorder="1" applyAlignment="1" applyProtection="1">
      <alignment horizontal="right" vertical="top"/>
    </xf>
    <xf numFmtId="164" fontId="40" fillId="4" borderId="0" xfId="0" applyNumberFormat="1" applyFont="1" applyFill="1" applyBorder="1" applyAlignment="1" applyProtection="1">
      <alignment horizontal="center" vertical="top"/>
    </xf>
    <xf numFmtId="0" fontId="9" fillId="4" borderId="0" xfId="0" applyFont="1" applyFill="1" applyAlignment="1" applyProtection="1">
      <alignment vertical="top"/>
    </xf>
    <xf numFmtId="0" fontId="62" fillId="4" borderId="6" xfId="0" applyFont="1" applyFill="1" applyBorder="1" applyAlignment="1" applyProtection="1">
      <alignment horizontal="right" vertical="center"/>
    </xf>
    <xf numFmtId="0" fontId="63" fillId="4" borderId="6" xfId="0" applyFont="1" applyFill="1" applyBorder="1" applyAlignment="1" applyProtection="1">
      <alignment horizontal="center" vertical="center"/>
      <protection locked="0"/>
    </xf>
    <xf numFmtId="0" fontId="64" fillId="4" borderId="0" xfId="0" applyFont="1" applyFill="1" applyAlignment="1" applyProtection="1">
      <alignment horizontal="center" vertical="center"/>
    </xf>
    <xf numFmtId="165" fontId="64" fillId="4" borderId="0" xfId="0" applyNumberFormat="1" applyFont="1" applyFill="1" applyAlignment="1" applyProtection="1">
      <alignment horizontal="right" vertical="center"/>
    </xf>
    <xf numFmtId="164" fontId="64" fillId="4" borderId="0" xfId="0" applyNumberFormat="1" applyFont="1" applyFill="1" applyAlignment="1" applyProtection="1">
      <alignment horizontal="center" vertical="center"/>
    </xf>
    <xf numFmtId="0" fontId="65" fillId="4" borderId="0" xfId="0" applyFont="1" applyFill="1" applyAlignment="1" applyProtection="1">
      <alignment vertical="center"/>
    </xf>
    <xf numFmtId="0" fontId="66" fillId="4" borderId="6" xfId="0" applyFont="1" applyFill="1" applyBorder="1" applyAlignment="1" applyProtection="1">
      <alignment vertical="center"/>
    </xf>
    <xf numFmtId="0" fontId="0" fillId="4" borderId="13" xfId="0" applyFill="1" applyBorder="1" applyAlignment="1" applyProtection="1">
      <alignment vertical="center"/>
    </xf>
    <xf numFmtId="0" fontId="67" fillId="4" borderId="0" xfId="0" applyFont="1" applyFill="1" applyAlignment="1" applyProtection="1">
      <alignment horizontal="right" vertical="center"/>
    </xf>
    <xf numFmtId="0" fontId="67" fillId="4" borderId="11" xfId="0" applyFont="1" applyFill="1" applyBorder="1" applyAlignment="1" applyProtection="1">
      <alignment horizontal="left" vertical="center"/>
    </xf>
    <xf numFmtId="0" fontId="9" fillId="4" borderId="0" xfId="0" applyFont="1" applyFill="1" applyAlignment="1" applyProtection="1">
      <alignment vertical="center"/>
    </xf>
    <xf numFmtId="0" fontId="0" fillId="6" borderId="3" xfId="0" applyFont="1" applyFill="1" applyBorder="1" applyAlignment="1" applyProtection="1"/>
    <xf numFmtId="0" fontId="56" fillId="4" borderId="13" xfId="0" applyFont="1" applyFill="1" applyBorder="1" applyAlignment="1" applyProtection="1">
      <alignment horizontal="right" vertical="center"/>
    </xf>
    <xf numFmtId="0" fontId="69" fillId="4" borderId="13" xfId="0" applyFont="1" applyFill="1" applyBorder="1" applyAlignment="1" applyProtection="1">
      <alignment horizontal="right" vertical="center"/>
    </xf>
    <xf numFmtId="0" fontId="60" fillId="4" borderId="0" xfId="0" applyFont="1" applyFill="1" applyBorder="1" applyAlignment="1" applyProtection="1">
      <alignment vertical="center"/>
    </xf>
    <xf numFmtId="0" fontId="70" fillId="4" borderId="0" xfId="0" applyFont="1" applyFill="1" applyBorder="1" applyAlignment="1" applyProtection="1">
      <alignment horizontal="right" vertical="center"/>
    </xf>
    <xf numFmtId="0" fontId="71" fillId="4" borderId="0" xfId="0" applyFont="1" applyFill="1" applyBorder="1" applyAlignment="1" applyProtection="1">
      <alignment horizontal="center" vertical="center"/>
    </xf>
    <xf numFmtId="0" fontId="59" fillId="4" borderId="0" xfId="0" applyFont="1" applyFill="1" applyBorder="1" applyAlignment="1" applyProtection="1">
      <alignment horizontal="center" vertical="center"/>
    </xf>
    <xf numFmtId="0" fontId="56" fillId="4" borderId="8" xfId="0" applyFont="1" applyFill="1" applyBorder="1" applyAlignment="1" applyProtection="1">
      <alignment horizontal="right" vertical="center"/>
    </xf>
    <xf numFmtId="0" fontId="72" fillId="4" borderId="11" xfId="0" applyFont="1" applyFill="1" applyBorder="1" applyAlignment="1" applyProtection="1">
      <alignment vertical="center"/>
    </xf>
    <xf numFmtId="0" fontId="0" fillId="4" borderId="4" xfId="0" applyFont="1" applyFill="1" applyBorder="1" applyAlignment="1" applyProtection="1">
      <alignment vertical="center"/>
    </xf>
    <xf numFmtId="0" fontId="47" fillId="6" borderId="3" xfId="0" applyFont="1" applyFill="1" applyBorder="1" applyAlignment="1" applyProtection="1">
      <alignment vertical="center"/>
    </xf>
    <xf numFmtId="0" fontId="46" fillId="6" borderId="3" xfId="0" applyFont="1" applyFill="1" applyBorder="1" applyAlignment="1" applyProtection="1">
      <alignment horizontal="center" vertical="center"/>
    </xf>
    <xf numFmtId="0" fontId="73" fillId="4" borderId="0" xfId="0" applyFont="1" applyFill="1" applyAlignment="1" applyProtection="1">
      <alignment vertical="center"/>
    </xf>
    <xf numFmtId="0" fontId="63" fillId="4" borderId="6" xfId="0" applyFont="1" applyFill="1" applyBorder="1" applyAlignment="1" applyProtection="1">
      <alignment horizontal="right" vertical="center"/>
    </xf>
    <xf numFmtId="0" fontId="74" fillId="4" borderId="0" xfId="0" applyFont="1" applyFill="1" applyBorder="1" applyAlignment="1" applyProtection="1">
      <alignment horizontal="center" vertical="center"/>
      <protection locked="0"/>
    </xf>
    <xf numFmtId="0" fontId="75" fillId="4" borderId="0" xfId="0" applyFont="1" applyFill="1" applyBorder="1" applyAlignment="1" applyProtection="1">
      <alignment horizontal="right" vertical="center"/>
    </xf>
    <xf numFmtId="0" fontId="76" fillId="4" borderId="0" xfId="0" applyFont="1" applyFill="1" applyAlignment="1" applyProtection="1">
      <alignment horizontal="right" vertical="center"/>
    </xf>
    <xf numFmtId="165" fontId="76" fillId="4" borderId="0" xfId="0" applyNumberFormat="1" applyFont="1" applyFill="1" applyAlignment="1" applyProtection="1">
      <alignment horizontal="right" vertical="center"/>
    </xf>
    <xf numFmtId="164" fontId="76" fillId="4" borderId="0" xfId="0" applyNumberFormat="1" applyFont="1" applyFill="1" applyAlignment="1" applyProtection="1">
      <alignment horizontal="center" vertical="center"/>
    </xf>
    <xf numFmtId="0" fontId="77" fillId="4" borderId="0" xfId="0" applyFont="1" applyFill="1" applyAlignment="1" applyProtection="1">
      <alignment vertical="center"/>
    </xf>
    <xf numFmtId="0" fontId="0" fillId="0" borderId="0" xfId="0" applyAlignment="1">
      <alignment vertical="center"/>
    </xf>
    <xf numFmtId="0" fontId="34" fillId="0" borderId="0" xfId="0" applyFont="1" applyAlignment="1">
      <alignment vertical="center"/>
    </xf>
    <xf numFmtId="0" fontId="34" fillId="0" borderId="16" xfId="0" applyFont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34" fillId="0" borderId="17" xfId="0" applyFont="1" applyBorder="1" applyAlignment="1">
      <alignment vertical="center"/>
    </xf>
    <xf numFmtId="0" fontId="34" fillId="0" borderId="18" xfId="0" applyFont="1" applyBorder="1" applyAlignment="1">
      <alignment vertical="center"/>
    </xf>
    <xf numFmtId="0" fontId="34" fillId="0" borderId="19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20" xfId="0" applyFont="1" applyBorder="1" applyAlignment="1">
      <alignment vertical="center"/>
    </xf>
    <xf numFmtId="0" fontId="34" fillId="0" borderId="0" xfId="0" applyFont="1" applyAlignment="1" applyProtection="1">
      <alignment horizontal="center" vertical="center"/>
    </xf>
    <xf numFmtId="0" fontId="34" fillId="0" borderId="21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1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7" fillId="2" borderId="0" xfId="1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center"/>
    </xf>
    <xf numFmtId="0" fontId="14" fillId="2" borderId="0" xfId="1" applyNumberFormat="1" applyFont="1" applyFill="1" applyBorder="1" applyAlignment="1" applyProtection="1">
      <alignment horizontal="center"/>
    </xf>
    <xf numFmtId="0" fontId="15" fillId="5" borderId="0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/>
    </xf>
    <xf numFmtId="0" fontId="18" fillId="5" borderId="0" xfId="0" applyFont="1" applyFill="1" applyBorder="1" applyAlignment="1">
      <alignment horizontal="center" vertical="center"/>
    </xf>
    <xf numFmtId="0" fontId="20" fillId="4" borderId="0" xfId="0" applyFont="1" applyFill="1" applyBorder="1" applyAlignment="1">
      <alignment horizontal="center"/>
    </xf>
    <xf numFmtId="0" fontId="20" fillId="4" borderId="4" xfId="0" applyFont="1" applyFill="1" applyBorder="1" applyAlignment="1">
      <alignment horizontal="center"/>
    </xf>
    <xf numFmtId="165" fontId="25" fillId="4" borderId="5" xfId="0" applyNumberFormat="1" applyFont="1" applyFill="1" applyBorder="1" applyAlignment="1">
      <alignment horizontal="center" vertical="center"/>
    </xf>
    <xf numFmtId="164" fontId="25" fillId="4" borderId="5" xfId="0" applyNumberFormat="1" applyFont="1" applyFill="1" applyBorder="1" applyAlignment="1">
      <alignment horizontal="center" vertical="center"/>
    </xf>
    <xf numFmtId="164" fontId="26" fillId="4" borderId="5" xfId="0" applyNumberFormat="1" applyFont="1" applyFill="1" applyBorder="1" applyAlignment="1">
      <alignment horizontal="center" vertical="center"/>
    </xf>
    <xf numFmtId="0" fontId="29" fillId="4" borderId="5" xfId="0" applyFont="1" applyFill="1" applyBorder="1" applyAlignment="1" applyProtection="1">
      <alignment horizontal="center" vertical="center"/>
    </xf>
    <xf numFmtId="0" fontId="23" fillId="4" borderId="0" xfId="1" applyNumberFormat="1" applyFont="1" applyFill="1" applyBorder="1" applyAlignment="1" applyProtection="1">
      <alignment horizontal="center"/>
    </xf>
    <xf numFmtId="0" fontId="44" fillId="5" borderId="0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left" vertical="center"/>
    </xf>
    <xf numFmtId="0" fontId="46" fillId="6" borderId="3" xfId="0" applyFont="1" applyFill="1" applyBorder="1" applyAlignment="1" applyProtection="1">
      <alignment horizontal="center"/>
    </xf>
    <xf numFmtId="0" fontId="26" fillId="6" borderId="3" xfId="0" applyFont="1" applyFill="1" applyBorder="1" applyAlignment="1" applyProtection="1">
      <alignment horizontal="left"/>
    </xf>
    <xf numFmtId="0" fontId="68" fillId="6" borderId="3" xfId="0" applyFont="1" applyFill="1" applyBorder="1" applyAlignment="1" applyProtection="1">
      <alignment horizontal="center"/>
    </xf>
    <xf numFmtId="0" fontId="53" fillId="6" borderId="3" xfId="0" applyFont="1" applyFill="1" applyBorder="1" applyAlignment="1" applyProtection="1">
      <alignment horizontal="left"/>
    </xf>
    <xf numFmtId="0" fontId="46" fillId="6" borderId="3" xfId="0" applyFont="1" applyFill="1" applyBorder="1" applyAlignment="1" applyProtection="1">
      <alignment horizontal="center" vertical="center"/>
    </xf>
    <xf numFmtId="0" fontId="26" fillId="6" borderId="3" xfId="0" applyFont="1" applyFill="1" applyBorder="1" applyAlignment="1" applyProtection="1">
      <alignment horizontal="left" vertical="center"/>
    </xf>
    <xf numFmtId="0" fontId="78" fillId="5" borderId="14" xfId="0" applyFont="1" applyFill="1" applyBorder="1" applyAlignment="1" applyProtection="1">
      <alignment horizontal="center" vertical="center"/>
    </xf>
    <xf numFmtId="0" fontId="79" fillId="4" borderId="0" xfId="0" applyFont="1" applyFill="1" applyBorder="1" applyAlignment="1" applyProtection="1">
      <alignment horizontal="center" vertical="center"/>
    </xf>
    <xf numFmtId="0" fontId="23" fillId="0" borderId="15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34" fillId="0" borderId="16" xfId="0" applyFont="1" applyBorder="1" applyAlignment="1" applyProtection="1">
      <alignment horizontal="left" vertical="center"/>
      <protection locked="0"/>
    </xf>
    <xf numFmtId="0" fontId="34" fillId="0" borderId="16" xfId="0" applyFont="1" applyBorder="1" applyAlignment="1" applyProtection="1">
      <alignment horizontal="center" vertical="center"/>
      <protection locked="0"/>
    </xf>
    <xf numFmtId="0" fontId="34" fillId="0" borderId="16" xfId="0" applyFont="1" applyBorder="1" applyAlignment="1" applyProtection="1">
      <alignment horizontal="right" vertical="center"/>
      <protection locked="0"/>
    </xf>
    <xf numFmtId="0" fontId="34" fillId="0" borderId="16" xfId="0" applyFont="1" applyBorder="1" applyAlignment="1">
      <alignment horizontal="center" vertical="center"/>
    </xf>
    <xf numFmtId="0" fontId="80" fillId="0" borderId="0" xfId="0" applyFont="1" applyBorder="1" applyAlignment="1">
      <alignment horizontal="center" vertical="center"/>
    </xf>
    <xf numFmtId="0" fontId="81" fillId="0" borderId="0" xfId="0" applyFont="1" applyBorder="1" applyAlignment="1">
      <alignment horizontal="center" vertical="center"/>
    </xf>
    <xf numFmtId="0" fontId="7" fillId="0" borderId="0" xfId="1" applyNumberFormat="1" applyFont="1" applyFill="1" applyBorder="1" applyAlignment="1" applyProtection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right" vertical="center"/>
      <protection locked="0"/>
    </xf>
    <xf numFmtId="0" fontId="0" fillId="0" borderId="0" xfId="0" applyFont="1" applyBorder="1" applyAlignment="1">
      <alignment horizontal="center"/>
    </xf>
    <xf numFmtId="0" fontId="5" fillId="3" borderId="1" xfId="1" applyNumberFormat="1" applyFill="1" applyBorder="1" applyAlignment="1" applyProtection="1">
      <alignment horizontal="center" vertical="center"/>
    </xf>
  </cellXfs>
  <cellStyles count="2">
    <cellStyle name="Hipervínculo" xfId="1" builtinId="8"/>
    <cellStyle name="Normal" xfId="0" builtinId="0"/>
  </cellStyles>
  <dxfs count="97">
    <dxf>
      <fill>
        <patternFill patternType="solid">
          <fgColor indexed="53"/>
          <bgColor indexed="52"/>
        </patternFill>
      </fill>
    </dxf>
    <dxf>
      <fill>
        <patternFill patternType="solid">
          <fgColor indexed="51"/>
          <bgColor indexed="47"/>
        </patternFill>
      </fill>
      <border>
        <left style="thin">
          <color indexed="60"/>
        </left>
        <right style="thin">
          <color indexed="60"/>
        </right>
        <top style="thin">
          <color indexed="60"/>
        </top>
        <bottom style="thin">
          <color indexed="60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ill>
        <patternFill patternType="solid">
          <fgColor indexed="51"/>
          <bgColor indexed="47"/>
        </patternFill>
      </fill>
      <border>
        <left style="thin">
          <color indexed="52"/>
        </left>
        <right style="thin">
          <color indexed="52"/>
        </right>
        <top style="thin">
          <color indexed="52"/>
        </top>
        <bottom style="thin">
          <color indexed="52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condense val="0"/>
        <extend val="0"/>
        <color indexed="6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condense val="0"/>
        <extend val="0"/>
        <color indexed="6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condense val="0"/>
        <extend val="0"/>
        <color indexed="6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condense val="0"/>
        <extend val="0"/>
        <color indexed="6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condense val="0"/>
        <extend val="0"/>
        <color indexed="6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condense val="0"/>
        <extend val="0"/>
        <color indexed="6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condense val="0"/>
        <extend val="0"/>
        <color indexed="6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condense val="0"/>
        <extend val="0"/>
        <color indexed="6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BF7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3.jpe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12.png"/><Relationship Id="rId1" Type="http://schemas.openxmlformats.org/officeDocument/2006/relationships/image" Target="../media/image3.jpeg"/><Relationship Id="rId5" Type="http://schemas.openxmlformats.org/officeDocument/2006/relationships/image" Target="../media/image15.png"/><Relationship Id="rId4" Type="http://schemas.openxmlformats.org/officeDocument/2006/relationships/image" Target="../media/image1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png"/><Relationship Id="rId2" Type="http://schemas.openxmlformats.org/officeDocument/2006/relationships/image" Target="../media/image16.png"/><Relationship Id="rId1" Type="http://schemas.openxmlformats.org/officeDocument/2006/relationships/image" Target="../media/image3.jpeg"/><Relationship Id="rId5" Type="http://schemas.openxmlformats.org/officeDocument/2006/relationships/image" Target="../media/image19.png"/><Relationship Id="rId4" Type="http://schemas.openxmlformats.org/officeDocument/2006/relationships/image" Target="../media/image1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1.png"/><Relationship Id="rId2" Type="http://schemas.openxmlformats.org/officeDocument/2006/relationships/image" Target="../media/image20.jpeg"/><Relationship Id="rId1" Type="http://schemas.openxmlformats.org/officeDocument/2006/relationships/image" Target="../media/image3.jpeg"/><Relationship Id="rId5" Type="http://schemas.openxmlformats.org/officeDocument/2006/relationships/image" Target="../media/image23.png"/><Relationship Id="rId4" Type="http://schemas.openxmlformats.org/officeDocument/2006/relationships/image" Target="../media/image2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5.png"/><Relationship Id="rId2" Type="http://schemas.openxmlformats.org/officeDocument/2006/relationships/image" Target="../media/image24.png"/><Relationship Id="rId1" Type="http://schemas.openxmlformats.org/officeDocument/2006/relationships/image" Target="../media/image3.jpeg"/><Relationship Id="rId5" Type="http://schemas.openxmlformats.org/officeDocument/2006/relationships/image" Target="../media/image27.png"/><Relationship Id="rId4" Type="http://schemas.openxmlformats.org/officeDocument/2006/relationships/image" Target="../media/image26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9.png"/><Relationship Id="rId2" Type="http://schemas.openxmlformats.org/officeDocument/2006/relationships/image" Target="../media/image28.png"/><Relationship Id="rId1" Type="http://schemas.openxmlformats.org/officeDocument/2006/relationships/image" Target="../media/image3.jpeg"/><Relationship Id="rId5" Type="http://schemas.openxmlformats.org/officeDocument/2006/relationships/image" Target="../media/image31.png"/><Relationship Id="rId4" Type="http://schemas.openxmlformats.org/officeDocument/2006/relationships/image" Target="../media/image30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3.png"/><Relationship Id="rId2" Type="http://schemas.openxmlformats.org/officeDocument/2006/relationships/image" Target="../media/image32.png"/><Relationship Id="rId1" Type="http://schemas.openxmlformats.org/officeDocument/2006/relationships/image" Target="../media/image3.jpeg"/><Relationship Id="rId5" Type="http://schemas.openxmlformats.org/officeDocument/2006/relationships/image" Target="../media/image35.png"/><Relationship Id="rId4" Type="http://schemas.openxmlformats.org/officeDocument/2006/relationships/image" Target="../media/image3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3</xdr:row>
      <xdr:rowOff>85725</xdr:rowOff>
    </xdr:from>
    <xdr:to>
      <xdr:col>3</xdr:col>
      <xdr:colOff>695325</xdr:colOff>
      <xdr:row>14</xdr:row>
      <xdr:rowOff>123825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62000"/>
          <a:ext cx="2314575" cy="2305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4</xdr:col>
      <xdr:colOff>657225</xdr:colOff>
      <xdr:row>5</xdr:row>
      <xdr:rowOff>66675</xdr:rowOff>
    </xdr:from>
    <xdr:to>
      <xdr:col>5</xdr:col>
      <xdr:colOff>581025</xdr:colOff>
      <xdr:row>13</xdr:row>
      <xdr:rowOff>95250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1285875"/>
          <a:ext cx="685800" cy="15906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7</xdr:row>
      <xdr:rowOff>85725</xdr:rowOff>
    </xdr:from>
    <xdr:to>
      <xdr:col>8</xdr:col>
      <xdr:colOff>752475</xdr:colOff>
      <xdr:row>7</xdr:row>
      <xdr:rowOff>85725</xdr:rowOff>
    </xdr:to>
    <xdr:sp macro="" textlink="">
      <xdr:nvSpPr>
        <xdr:cNvPr id="11265" name="Line 1"/>
        <xdr:cNvSpPr>
          <a:spLocks noChangeShapeType="1"/>
        </xdr:cNvSpPr>
      </xdr:nvSpPr>
      <xdr:spPr bwMode="auto">
        <a:xfrm>
          <a:off x="3552825" y="180975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11</xdr:row>
      <xdr:rowOff>85725</xdr:rowOff>
    </xdr:from>
    <xdr:to>
      <xdr:col>8</xdr:col>
      <xdr:colOff>752475</xdr:colOff>
      <xdr:row>11</xdr:row>
      <xdr:rowOff>85725</xdr:rowOff>
    </xdr:to>
    <xdr:sp macro="" textlink="">
      <xdr:nvSpPr>
        <xdr:cNvPr id="11266" name="Line 2"/>
        <xdr:cNvSpPr>
          <a:spLocks noChangeShapeType="1"/>
        </xdr:cNvSpPr>
      </xdr:nvSpPr>
      <xdr:spPr bwMode="auto">
        <a:xfrm>
          <a:off x="3552825" y="245745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15</xdr:row>
      <xdr:rowOff>85725</xdr:rowOff>
    </xdr:from>
    <xdr:to>
      <xdr:col>8</xdr:col>
      <xdr:colOff>752475</xdr:colOff>
      <xdr:row>15</xdr:row>
      <xdr:rowOff>85725</xdr:rowOff>
    </xdr:to>
    <xdr:sp macro="" textlink="">
      <xdr:nvSpPr>
        <xdr:cNvPr id="11267" name="Line 3"/>
        <xdr:cNvSpPr>
          <a:spLocks noChangeShapeType="1"/>
        </xdr:cNvSpPr>
      </xdr:nvSpPr>
      <xdr:spPr bwMode="auto">
        <a:xfrm>
          <a:off x="3552825" y="310515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19</xdr:row>
      <xdr:rowOff>85725</xdr:rowOff>
    </xdr:from>
    <xdr:to>
      <xdr:col>8</xdr:col>
      <xdr:colOff>752475</xdr:colOff>
      <xdr:row>19</xdr:row>
      <xdr:rowOff>85725</xdr:rowOff>
    </xdr:to>
    <xdr:sp macro="" textlink="">
      <xdr:nvSpPr>
        <xdr:cNvPr id="11268" name="Line 4"/>
        <xdr:cNvSpPr>
          <a:spLocks noChangeShapeType="1"/>
        </xdr:cNvSpPr>
      </xdr:nvSpPr>
      <xdr:spPr bwMode="auto">
        <a:xfrm>
          <a:off x="3552825" y="375285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23</xdr:row>
      <xdr:rowOff>85725</xdr:rowOff>
    </xdr:from>
    <xdr:to>
      <xdr:col>8</xdr:col>
      <xdr:colOff>752475</xdr:colOff>
      <xdr:row>23</xdr:row>
      <xdr:rowOff>85725</xdr:rowOff>
    </xdr:to>
    <xdr:sp macro="" textlink="">
      <xdr:nvSpPr>
        <xdr:cNvPr id="11269" name="Line 5"/>
        <xdr:cNvSpPr>
          <a:spLocks noChangeShapeType="1"/>
        </xdr:cNvSpPr>
      </xdr:nvSpPr>
      <xdr:spPr bwMode="auto">
        <a:xfrm>
          <a:off x="3552825" y="440055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29</xdr:row>
      <xdr:rowOff>85725</xdr:rowOff>
    </xdr:from>
    <xdr:to>
      <xdr:col>8</xdr:col>
      <xdr:colOff>752475</xdr:colOff>
      <xdr:row>29</xdr:row>
      <xdr:rowOff>85725</xdr:rowOff>
    </xdr:to>
    <xdr:sp macro="" textlink="">
      <xdr:nvSpPr>
        <xdr:cNvPr id="11270" name="Line 6"/>
        <xdr:cNvSpPr>
          <a:spLocks noChangeShapeType="1"/>
        </xdr:cNvSpPr>
      </xdr:nvSpPr>
      <xdr:spPr bwMode="auto">
        <a:xfrm>
          <a:off x="3552825" y="504825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33</xdr:row>
      <xdr:rowOff>85725</xdr:rowOff>
    </xdr:from>
    <xdr:to>
      <xdr:col>8</xdr:col>
      <xdr:colOff>752475</xdr:colOff>
      <xdr:row>33</xdr:row>
      <xdr:rowOff>85725</xdr:rowOff>
    </xdr:to>
    <xdr:sp macro="" textlink="">
      <xdr:nvSpPr>
        <xdr:cNvPr id="11271" name="Line 7"/>
        <xdr:cNvSpPr>
          <a:spLocks noChangeShapeType="1"/>
        </xdr:cNvSpPr>
      </xdr:nvSpPr>
      <xdr:spPr bwMode="auto">
        <a:xfrm>
          <a:off x="3552825" y="569595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37</xdr:row>
      <xdr:rowOff>85725</xdr:rowOff>
    </xdr:from>
    <xdr:to>
      <xdr:col>8</xdr:col>
      <xdr:colOff>752475</xdr:colOff>
      <xdr:row>37</xdr:row>
      <xdr:rowOff>85725</xdr:rowOff>
    </xdr:to>
    <xdr:sp macro="" textlink="">
      <xdr:nvSpPr>
        <xdr:cNvPr id="11272" name="Line 8"/>
        <xdr:cNvSpPr>
          <a:spLocks noChangeShapeType="1"/>
        </xdr:cNvSpPr>
      </xdr:nvSpPr>
      <xdr:spPr bwMode="auto">
        <a:xfrm>
          <a:off x="3552825" y="634365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314325</xdr:colOff>
      <xdr:row>0</xdr:row>
      <xdr:rowOff>9525</xdr:rowOff>
    </xdr:from>
    <xdr:to>
      <xdr:col>14</xdr:col>
      <xdr:colOff>733425</xdr:colOff>
      <xdr:row>1</xdr:row>
      <xdr:rowOff>419100</xdr:rowOff>
    </xdr:to>
    <xdr:pic>
      <xdr:nvPicPr>
        <xdr:cNvPr id="1127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7</xdr:row>
      <xdr:rowOff>85725</xdr:rowOff>
    </xdr:from>
    <xdr:to>
      <xdr:col>8</xdr:col>
      <xdr:colOff>752475</xdr:colOff>
      <xdr:row>7</xdr:row>
      <xdr:rowOff>85725</xdr:rowOff>
    </xdr:to>
    <xdr:sp macro="" textlink="">
      <xdr:nvSpPr>
        <xdr:cNvPr id="12289" name="Line 1"/>
        <xdr:cNvSpPr>
          <a:spLocks noChangeShapeType="1"/>
        </xdr:cNvSpPr>
      </xdr:nvSpPr>
      <xdr:spPr bwMode="auto">
        <a:xfrm>
          <a:off x="3886200" y="1800225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11</xdr:row>
      <xdr:rowOff>85725</xdr:rowOff>
    </xdr:from>
    <xdr:to>
      <xdr:col>8</xdr:col>
      <xdr:colOff>752475</xdr:colOff>
      <xdr:row>11</xdr:row>
      <xdr:rowOff>85725</xdr:rowOff>
    </xdr:to>
    <xdr:sp macro="" textlink="">
      <xdr:nvSpPr>
        <xdr:cNvPr id="12290" name="Line 2"/>
        <xdr:cNvSpPr>
          <a:spLocks noChangeShapeType="1"/>
        </xdr:cNvSpPr>
      </xdr:nvSpPr>
      <xdr:spPr bwMode="auto">
        <a:xfrm>
          <a:off x="3886200" y="253365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15</xdr:row>
      <xdr:rowOff>85725</xdr:rowOff>
    </xdr:from>
    <xdr:to>
      <xdr:col>8</xdr:col>
      <xdr:colOff>752475</xdr:colOff>
      <xdr:row>15</xdr:row>
      <xdr:rowOff>85725</xdr:rowOff>
    </xdr:to>
    <xdr:sp macro="" textlink="">
      <xdr:nvSpPr>
        <xdr:cNvPr id="12291" name="Line 3"/>
        <xdr:cNvSpPr>
          <a:spLocks noChangeShapeType="1"/>
        </xdr:cNvSpPr>
      </xdr:nvSpPr>
      <xdr:spPr bwMode="auto">
        <a:xfrm>
          <a:off x="3886200" y="3267075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19</xdr:row>
      <xdr:rowOff>85725</xdr:rowOff>
    </xdr:from>
    <xdr:to>
      <xdr:col>8</xdr:col>
      <xdr:colOff>752475</xdr:colOff>
      <xdr:row>19</xdr:row>
      <xdr:rowOff>85725</xdr:rowOff>
    </xdr:to>
    <xdr:sp macro="" textlink="">
      <xdr:nvSpPr>
        <xdr:cNvPr id="12292" name="Line 4"/>
        <xdr:cNvSpPr>
          <a:spLocks noChangeShapeType="1"/>
        </xdr:cNvSpPr>
      </xdr:nvSpPr>
      <xdr:spPr bwMode="auto">
        <a:xfrm>
          <a:off x="3886200" y="400050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21</xdr:row>
      <xdr:rowOff>180975</xdr:rowOff>
    </xdr:from>
    <xdr:to>
      <xdr:col>8</xdr:col>
      <xdr:colOff>752475</xdr:colOff>
      <xdr:row>21</xdr:row>
      <xdr:rowOff>180975</xdr:rowOff>
    </xdr:to>
    <xdr:sp macro="" textlink="">
      <xdr:nvSpPr>
        <xdr:cNvPr id="12293" name="Line 5"/>
        <xdr:cNvSpPr>
          <a:spLocks noChangeShapeType="1"/>
        </xdr:cNvSpPr>
      </xdr:nvSpPr>
      <xdr:spPr bwMode="auto">
        <a:xfrm>
          <a:off x="3886200" y="4457700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314325</xdr:colOff>
      <xdr:row>0</xdr:row>
      <xdr:rowOff>9525</xdr:rowOff>
    </xdr:from>
    <xdr:to>
      <xdr:col>14</xdr:col>
      <xdr:colOff>733425</xdr:colOff>
      <xdr:row>1</xdr:row>
      <xdr:rowOff>419100</xdr:rowOff>
    </xdr:to>
    <xdr:pic>
      <xdr:nvPicPr>
        <xdr:cNvPr id="1229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7</xdr:row>
      <xdr:rowOff>85725</xdr:rowOff>
    </xdr:from>
    <xdr:to>
      <xdr:col>8</xdr:col>
      <xdr:colOff>752475</xdr:colOff>
      <xdr:row>7</xdr:row>
      <xdr:rowOff>85725</xdr:rowOff>
    </xdr:to>
    <xdr:sp macro="" textlink="">
      <xdr:nvSpPr>
        <xdr:cNvPr id="13313" name="Line 1"/>
        <xdr:cNvSpPr>
          <a:spLocks noChangeShapeType="1"/>
        </xdr:cNvSpPr>
      </xdr:nvSpPr>
      <xdr:spPr bwMode="auto">
        <a:xfrm>
          <a:off x="3943350" y="2143125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11</xdr:row>
      <xdr:rowOff>85725</xdr:rowOff>
    </xdr:from>
    <xdr:to>
      <xdr:col>8</xdr:col>
      <xdr:colOff>752475</xdr:colOff>
      <xdr:row>11</xdr:row>
      <xdr:rowOff>85725</xdr:rowOff>
    </xdr:to>
    <xdr:sp macro="" textlink="">
      <xdr:nvSpPr>
        <xdr:cNvPr id="13314" name="Line 2"/>
        <xdr:cNvSpPr>
          <a:spLocks noChangeShapeType="1"/>
        </xdr:cNvSpPr>
      </xdr:nvSpPr>
      <xdr:spPr bwMode="auto">
        <a:xfrm>
          <a:off x="3943350" y="3114675"/>
          <a:ext cx="7524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314325</xdr:colOff>
      <xdr:row>0</xdr:row>
      <xdr:rowOff>9525</xdr:rowOff>
    </xdr:from>
    <xdr:to>
      <xdr:col>14</xdr:col>
      <xdr:colOff>733425</xdr:colOff>
      <xdr:row>1</xdr:row>
      <xdr:rowOff>419100</xdr:rowOff>
    </xdr:to>
    <xdr:pic>
      <xdr:nvPicPr>
        <xdr:cNvPr id="1331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85725</xdr:rowOff>
    </xdr:from>
    <xdr:to>
      <xdr:col>8</xdr:col>
      <xdr:colOff>638175</xdr:colOff>
      <xdr:row>8</xdr:row>
      <xdr:rowOff>85725</xdr:rowOff>
    </xdr:to>
    <xdr:sp macro="" textlink="">
      <xdr:nvSpPr>
        <xdr:cNvPr id="14337" name="Line 1"/>
        <xdr:cNvSpPr>
          <a:spLocks noChangeShapeType="1"/>
        </xdr:cNvSpPr>
      </xdr:nvSpPr>
      <xdr:spPr bwMode="auto">
        <a:xfrm>
          <a:off x="4562475" y="1876425"/>
          <a:ext cx="638175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0</xdr:colOff>
      <xdr:row>15</xdr:row>
      <xdr:rowOff>114300</xdr:rowOff>
    </xdr:from>
    <xdr:to>
      <xdr:col>8</xdr:col>
      <xdr:colOff>685800</xdr:colOff>
      <xdr:row>15</xdr:row>
      <xdr:rowOff>114300</xdr:rowOff>
    </xdr:to>
    <xdr:sp macro="" textlink="">
      <xdr:nvSpPr>
        <xdr:cNvPr id="14338" name="Line 2"/>
        <xdr:cNvSpPr>
          <a:spLocks noChangeShapeType="1"/>
        </xdr:cNvSpPr>
      </xdr:nvSpPr>
      <xdr:spPr bwMode="auto">
        <a:xfrm>
          <a:off x="4562475" y="3400425"/>
          <a:ext cx="685800" cy="0"/>
        </a:xfrm>
        <a:prstGeom prst="line">
          <a:avLst/>
        </a:prstGeom>
        <a:noFill/>
        <a:ln w="9360">
          <a:solidFill>
            <a:srgbClr val="FF99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314325</xdr:colOff>
      <xdr:row>0</xdr:row>
      <xdr:rowOff>9525</xdr:rowOff>
    </xdr:from>
    <xdr:to>
      <xdr:col>14</xdr:col>
      <xdr:colOff>733425</xdr:colOff>
      <xdr:row>1</xdr:row>
      <xdr:rowOff>419100</xdr:rowOff>
    </xdr:to>
    <xdr:pic>
      <xdr:nvPicPr>
        <xdr:cNvPr id="1433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0</xdr:row>
      <xdr:rowOff>9525</xdr:rowOff>
    </xdr:from>
    <xdr:to>
      <xdr:col>18</xdr:col>
      <xdr:colOff>371475</xdr:colOff>
      <xdr:row>1</xdr:row>
      <xdr:rowOff>419100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371475</xdr:colOff>
      <xdr:row>6</xdr:row>
      <xdr:rowOff>19050</xdr:rowOff>
    </xdr:from>
    <xdr:to>
      <xdr:col>16</xdr:col>
      <xdr:colOff>180975</xdr:colOff>
      <xdr:row>6</xdr:row>
      <xdr:rowOff>161925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1666875"/>
          <a:ext cx="190500" cy="142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361950</xdr:colOff>
      <xdr:row>8</xdr:row>
      <xdr:rowOff>19050</xdr:rowOff>
    </xdr:from>
    <xdr:to>
      <xdr:col>16</xdr:col>
      <xdr:colOff>180975</xdr:colOff>
      <xdr:row>8</xdr:row>
      <xdr:rowOff>171450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2028825"/>
          <a:ext cx="20002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361950</xdr:colOff>
      <xdr:row>10</xdr:row>
      <xdr:rowOff>19050</xdr:rowOff>
    </xdr:from>
    <xdr:to>
      <xdr:col>16</xdr:col>
      <xdr:colOff>180975</xdr:colOff>
      <xdr:row>10</xdr:row>
      <xdr:rowOff>171450</xdr:rowOff>
    </xdr:to>
    <xdr:pic>
      <xdr:nvPicPr>
        <xdr:cNvPr id="307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2390775"/>
          <a:ext cx="20002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361950</xdr:colOff>
      <xdr:row>12</xdr:row>
      <xdr:rowOff>9525</xdr:rowOff>
    </xdr:from>
    <xdr:to>
      <xdr:col>16</xdr:col>
      <xdr:colOff>180975</xdr:colOff>
      <xdr:row>12</xdr:row>
      <xdr:rowOff>161925</xdr:rowOff>
    </xdr:to>
    <xdr:pic>
      <xdr:nvPicPr>
        <xdr:cNvPr id="307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2733675"/>
          <a:ext cx="20002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0</xdr:row>
      <xdr:rowOff>9525</xdr:rowOff>
    </xdr:from>
    <xdr:to>
      <xdr:col>18</xdr:col>
      <xdr:colOff>371475</xdr:colOff>
      <xdr:row>1</xdr:row>
      <xdr:rowOff>419100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657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180975</xdr:colOff>
      <xdr:row>6</xdr:row>
      <xdr:rowOff>9525</xdr:rowOff>
    </xdr:from>
    <xdr:to>
      <xdr:col>16</xdr:col>
      <xdr:colOff>0</xdr:colOff>
      <xdr:row>6</xdr:row>
      <xdr:rowOff>161925</xdr:rowOff>
    </xdr:to>
    <xdr:pic>
      <xdr:nvPicPr>
        <xdr:cNvPr id="409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725" y="1657350"/>
          <a:ext cx="20002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180975</xdr:colOff>
      <xdr:row>8</xdr:row>
      <xdr:rowOff>9525</xdr:rowOff>
    </xdr:from>
    <xdr:to>
      <xdr:col>16</xdr:col>
      <xdr:colOff>0</xdr:colOff>
      <xdr:row>8</xdr:row>
      <xdr:rowOff>161925</xdr:rowOff>
    </xdr:to>
    <xdr:pic>
      <xdr:nvPicPr>
        <xdr:cNvPr id="409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725" y="2019300"/>
          <a:ext cx="20002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180975</xdr:colOff>
      <xdr:row>10</xdr:row>
      <xdr:rowOff>19050</xdr:rowOff>
    </xdr:from>
    <xdr:to>
      <xdr:col>16</xdr:col>
      <xdr:colOff>0</xdr:colOff>
      <xdr:row>10</xdr:row>
      <xdr:rowOff>171450</xdr:rowOff>
    </xdr:to>
    <xdr:pic>
      <xdr:nvPicPr>
        <xdr:cNvPr id="410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1725" y="2390775"/>
          <a:ext cx="200025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171450</xdr:colOff>
      <xdr:row>12</xdr:row>
      <xdr:rowOff>9525</xdr:rowOff>
    </xdr:from>
    <xdr:to>
      <xdr:col>16</xdr:col>
      <xdr:colOff>0</xdr:colOff>
      <xdr:row>12</xdr:row>
      <xdr:rowOff>161925</xdr:rowOff>
    </xdr:to>
    <xdr:pic>
      <xdr:nvPicPr>
        <xdr:cNvPr id="410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27336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0</xdr:row>
      <xdr:rowOff>9525</xdr:rowOff>
    </xdr:from>
    <xdr:to>
      <xdr:col>18</xdr:col>
      <xdr:colOff>238125</xdr:colOff>
      <xdr:row>1</xdr:row>
      <xdr:rowOff>419100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152400</xdr:colOff>
      <xdr:row>6</xdr:row>
      <xdr:rowOff>19050</xdr:rowOff>
    </xdr:from>
    <xdr:to>
      <xdr:col>15</xdr:col>
      <xdr:colOff>361950</xdr:colOff>
      <xdr:row>6</xdr:row>
      <xdr:rowOff>171450</xdr:rowOff>
    </xdr:to>
    <xdr:pic>
      <xdr:nvPicPr>
        <xdr:cNvPr id="512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0" y="16668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152400</xdr:colOff>
      <xdr:row>8</xdr:row>
      <xdr:rowOff>19050</xdr:rowOff>
    </xdr:from>
    <xdr:to>
      <xdr:col>15</xdr:col>
      <xdr:colOff>361950</xdr:colOff>
      <xdr:row>8</xdr:row>
      <xdr:rowOff>171450</xdr:rowOff>
    </xdr:to>
    <xdr:pic>
      <xdr:nvPicPr>
        <xdr:cNvPr id="51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0" y="202882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152400</xdr:colOff>
      <xdr:row>10</xdr:row>
      <xdr:rowOff>19050</xdr:rowOff>
    </xdr:from>
    <xdr:to>
      <xdr:col>15</xdr:col>
      <xdr:colOff>361950</xdr:colOff>
      <xdr:row>10</xdr:row>
      <xdr:rowOff>171450</xdr:rowOff>
    </xdr:to>
    <xdr:pic>
      <xdr:nvPicPr>
        <xdr:cNvPr id="512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0" y="23907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152400</xdr:colOff>
      <xdr:row>12</xdr:row>
      <xdr:rowOff>19050</xdr:rowOff>
    </xdr:from>
    <xdr:to>
      <xdr:col>15</xdr:col>
      <xdr:colOff>361950</xdr:colOff>
      <xdr:row>12</xdr:row>
      <xdr:rowOff>152400</xdr:rowOff>
    </xdr:to>
    <xdr:pic>
      <xdr:nvPicPr>
        <xdr:cNvPr id="512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0" y="2743200"/>
          <a:ext cx="209550" cy="133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0</xdr:row>
      <xdr:rowOff>9525</xdr:rowOff>
    </xdr:from>
    <xdr:to>
      <xdr:col>18</xdr:col>
      <xdr:colOff>371475</xdr:colOff>
      <xdr:row>1</xdr:row>
      <xdr:rowOff>419100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19050</xdr:colOff>
      <xdr:row>6</xdr:row>
      <xdr:rowOff>19050</xdr:rowOff>
    </xdr:from>
    <xdr:to>
      <xdr:col>16</xdr:col>
      <xdr:colOff>228600</xdr:colOff>
      <xdr:row>6</xdr:row>
      <xdr:rowOff>171450</xdr:rowOff>
    </xdr:to>
    <xdr:pic>
      <xdr:nvPicPr>
        <xdr:cNvPr id="61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16668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19050</xdr:colOff>
      <xdr:row>8</xdr:row>
      <xdr:rowOff>19050</xdr:rowOff>
    </xdr:from>
    <xdr:to>
      <xdr:col>16</xdr:col>
      <xdr:colOff>228600</xdr:colOff>
      <xdr:row>8</xdr:row>
      <xdr:rowOff>171450</xdr:rowOff>
    </xdr:to>
    <xdr:pic>
      <xdr:nvPicPr>
        <xdr:cNvPr id="614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202882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19050</xdr:colOff>
      <xdr:row>10</xdr:row>
      <xdr:rowOff>19050</xdr:rowOff>
    </xdr:from>
    <xdr:to>
      <xdr:col>16</xdr:col>
      <xdr:colOff>228600</xdr:colOff>
      <xdr:row>10</xdr:row>
      <xdr:rowOff>171450</xdr:rowOff>
    </xdr:to>
    <xdr:pic>
      <xdr:nvPicPr>
        <xdr:cNvPr id="614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23907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19050</xdr:colOff>
      <xdr:row>12</xdr:row>
      <xdr:rowOff>9525</xdr:rowOff>
    </xdr:from>
    <xdr:to>
      <xdr:col>16</xdr:col>
      <xdr:colOff>228600</xdr:colOff>
      <xdr:row>12</xdr:row>
      <xdr:rowOff>161925</xdr:rowOff>
    </xdr:to>
    <xdr:pic>
      <xdr:nvPicPr>
        <xdr:cNvPr id="614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27336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0</xdr:row>
      <xdr:rowOff>9525</xdr:rowOff>
    </xdr:from>
    <xdr:to>
      <xdr:col>18</xdr:col>
      <xdr:colOff>371475</xdr:colOff>
      <xdr:row>1</xdr:row>
      <xdr:rowOff>419100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342900</xdr:colOff>
      <xdr:row>6</xdr:row>
      <xdr:rowOff>19050</xdr:rowOff>
    </xdr:from>
    <xdr:to>
      <xdr:col>16</xdr:col>
      <xdr:colOff>171450</xdr:colOff>
      <xdr:row>6</xdr:row>
      <xdr:rowOff>171450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850" y="16668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342900</xdr:colOff>
      <xdr:row>8</xdr:row>
      <xdr:rowOff>19050</xdr:rowOff>
    </xdr:from>
    <xdr:to>
      <xdr:col>16</xdr:col>
      <xdr:colOff>171450</xdr:colOff>
      <xdr:row>8</xdr:row>
      <xdr:rowOff>171450</xdr:rowOff>
    </xdr:to>
    <xdr:pic>
      <xdr:nvPicPr>
        <xdr:cNvPr id="717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850" y="202882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342900</xdr:colOff>
      <xdr:row>10</xdr:row>
      <xdr:rowOff>19050</xdr:rowOff>
    </xdr:from>
    <xdr:to>
      <xdr:col>16</xdr:col>
      <xdr:colOff>171450</xdr:colOff>
      <xdr:row>10</xdr:row>
      <xdr:rowOff>171450</xdr:rowOff>
    </xdr:to>
    <xdr:pic>
      <xdr:nvPicPr>
        <xdr:cNvPr id="717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850" y="23907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342900</xdr:colOff>
      <xdr:row>12</xdr:row>
      <xdr:rowOff>9525</xdr:rowOff>
    </xdr:from>
    <xdr:to>
      <xdr:col>16</xdr:col>
      <xdr:colOff>171450</xdr:colOff>
      <xdr:row>12</xdr:row>
      <xdr:rowOff>161925</xdr:rowOff>
    </xdr:to>
    <xdr:pic>
      <xdr:nvPicPr>
        <xdr:cNvPr id="717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850" y="27336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0</xdr:row>
      <xdr:rowOff>9525</xdr:rowOff>
    </xdr:from>
    <xdr:to>
      <xdr:col>18</xdr:col>
      <xdr:colOff>371475</xdr:colOff>
      <xdr:row>1</xdr:row>
      <xdr:rowOff>419100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38100</xdr:colOff>
      <xdr:row>6</xdr:row>
      <xdr:rowOff>19050</xdr:rowOff>
    </xdr:from>
    <xdr:to>
      <xdr:col>16</xdr:col>
      <xdr:colOff>247650</xdr:colOff>
      <xdr:row>6</xdr:row>
      <xdr:rowOff>171450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16668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38100</xdr:colOff>
      <xdr:row>10</xdr:row>
      <xdr:rowOff>19050</xdr:rowOff>
    </xdr:from>
    <xdr:to>
      <xdr:col>16</xdr:col>
      <xdr:colOff>247650</xdr:colOff>
      <xdr:row>10</xdr:row>
      <xdr:rowOff>171450</xdr:rowOff>
    </xdr:to>
    <xdr:pic>
      <xdr:nvPicPr>
        <xdr:cNvPr id="819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23907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38100</xdr:colOff>
      <xdr:row>8</xdr:row>
      <xdr:rowOff>19050</xdr:rowOff>
    </xdr:from>
    <xdr:to>
      <xdr:col>16</xdr:col>
      <xdr:colOff>247650</xdr:colOff>
      <xdr:row>8</xdr:row>
      <xdr:rowOff>171450</xdr:rowOff>
    </xdr:to>
    <xdr:pic>
      <xdr:nvPicPr>
        <xdr:cNvPr id="819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202882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16</xdr:col>
      <xdr:colOff>38100</xdr:colOff>
      <xdr:row>12</xdr:row>
      <xdr:rowOff>9525</xdr:rowOff>
    </xdr:from>
    <xdr:to>
      <xdr:col>16</xdr:col>
      <xdr:colOff>247650</xdr:colOff>
      <xdr:row>12</xdr:row>
      <xdr:rowOff>161925</xdr:rowOff>
    </xdr:to>
    <xdr:pic>
      <xdr:nvPicPr>
        <xdr:cNvPr id="819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27336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0</xdr:row>
      <xdr:rowOff>9525</xdr:rowOff>
    </xdr:from>
    <xdr:to>
      <xdr:col>18</xdr:col>
      <xdr:colOff>371475</xdr:colOff>
      <xdr:row>1</xdr:row>
      <xdr:rowOff>419100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295275</xdr:colOff>
      <xdr:row>8</xdr:row>
      <xdr:rowOff>19050</xdr:rowOff>
    </xdr:from>
    <xdr:to>
      <xdr:col>16</xdr:col>
      <xdr:colOff>123825</xdr:colOff>
      <xdr:row>8</xdr:row>
      <xdr:rowOff>171450</xdr:rowOff>
    </xdr:to>
    <xdr:pic>
      <xdr:nvPicPr>
        <xdr:cNvPr id="92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202882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285750</xdr:colOff>
      <xdr:row>10</xdr:row>
      <xdr:rowOff>19050</xdr:rowOff>
    </xdr:from>
    <xdr:to>
      <xdr:col>16</xdr:col>
      <xdr:colOff>114300</xdr:colOff>
      <xdr:row>10</xdr:row>
      <xdr:rowOff>171450</xdr:rowOff>
    </xdr:to>
    <xdr:pic>
      <xdr:nvPicPr>
        <xdr:cNvPr id="921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23907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285750</xdr:colOff>
      <xdr:row>12</xdr:row>
      <xdr:rowOff>9525</xdr:rowOff>
    </xdr:from>
    <xdr:to>
      <xdr:col>16</xdr:col>
      <xdr:colOff>114300</xdr:colOff>
      <xdr:row>12</xdr:row>
      <xdr:rowOff>161925</xdr:rowOff>
    </xdr:to>
    <xdr:pic>
      <xdr:nvPicPr>
        <xdr:cNvPr id="922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27336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295275</xdr:colOff>
      <xdr:row>6</xdr:row>
      <xdr:rowOff>19050</xdr:rowOff>
    </xdr:from>
    <xdr:to>
      <xdr:col>16</xdr:col>
      <xdr:colOff>123825</xdr:colOff>
      <xdr:row>6</xdr:row>
      <xdr:rowOff>171450</xdr:rowOff>
    </xdr:to>
    <xdr:pic>
      <xdr:nvPicPr>
        <xdr:cNvPr id="922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1225" y="16668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504825</xdr:colOff>
      <xdr:row>0</xdr:row>
      <xdr:rowOff>9525</xdr:rowOff>
    </xdr:from>
    <xdr:to>
      <xdr:col>18</xdr:col>
      <xdr:colOff>371475</xdr:colOff>
      <xdr:row>1</xdr:row>
      <xdr:rowOff>419100</xdr:rowOff>
    </xdr:to>
    <xdr:pic>
      <xdr:nvPicPr>
        <xdr:cNvPr id="10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0" y="9525"/>
          <a:ext cx="895350" cy="8477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247650</xdr:colOff>
      <xdr:row>6</xdr:row>
      <xdr:rowOff>19050</xdr:rowOff>
    </xdr:from>
    <xdr:to>
      <xdr:col>16</xdr:col>
      <xdr:colOff>76200</xdr:colOff>
      <xdr:row>6</xdr:row>
      <xdr:rowOff>171450</xdr:rowOff>
    </xdr:to>
    <xdr:pic>
      <xdr:nvPicPr>
        <xdr:cNvPr id="102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16668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247650</xdr:colOff>
      <xdr:row>8</xdr:row>
      <xdr:rowOff>9525</xdr:rowOff>
    </xdr:from>
    <xdr:to>
      <xdr:col>16</xdr:col>
      <xdr:colOff>76200</xdr:colOff>
      <xdr:row>8</xdr:row>
      <xdr:rowOff>161925</xdr:rowOff>
    </xdr:to>
    <xdr:pic>
      <xdr:nvPicPr>
        <xdr:cNvPr id="1024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2019300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247650</xdr:colOff>
      <xdr:row>10</xdr:row>
      <xdr:rowOff>19050</xdr:rowOff>
    </xdr:from>
    <xdr:to>
      <xdr:col>16</xdr:col>
      <xdr:colOff>76200</xdr:colOff>
      <xdr:row>10</xdr:row>
      <xdr:rowOff>171450</xdr:rowOff>
    </xdr:to>
    <xdr:pic>
      <xdr:nvPicPr>
        <xdr:cNvPr id="1024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23907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15</xdr:col>
      <xdr:colOff>247650</xdr:colOff>
      <xdr:row>12</xdr:row>
      <xdr:rowOff>9525</xdr:rowOff>
    </xdr:from>
    <xdr:to>
      <xdr:col>16</xdr:col>
      <xdr:colOff>76200</xdr:colOff>
      <xdr:row>12</xdr:row>
      <xdr:rowOff>161925</xdr:rowOff>
    </xdr:to>
    <xdr:pic>
      <xdr:nvPicPr>
        <xdr:cNvPr id="1024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2733675"/>
          <a:ext cx="209550" cy="152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2"/>
  <sheetViews>
    <sheetView showGridLines="0" showRowColHeaders="0" tabSelected="1" showOutlineSymbols="0" topLeftCell="A4" workbookViewId="0">
      <selection activeCell="G16" sqref="G16"/>
    </sheetView>
  </sheetViews>
  <sheetFormatPr baseColWidth="10" defaultRowHeight="12.75" x14ac:dyDescent="0.2"/>
  <cols>
    <col min="1" max="2" width="11.42578125" style="1"/>
    <col min="3" max="3" width="11.7109375" style="1" customWidth="1"/>
    <col min="4" max="6" width="11.42578125" style="1"/>
    <col min="7" max="7" width="9.5703125" style="1" customWidth="1"/>
    <col min="8" max="8" width="3.42578125" style="1" customWidth="1"/>
    <col min="9" max="9" width="16.28515625" style="2" customWidth="1"/>
    <col min="10" max="10" width="3" style="2" customWidth="1"/>
    <col min="11" max="11" width="15.140625" style="2" customWidth="1"/>
    <col min="12" max="16384" width="11.42578125" style="1"/>
  </cols>
  <sheetData>
    <row r="2" spans="2:11" ht="25.5" x14ac:dyDescent="0.35">
      <c r="B2" s="181" t="s">
        <v>0</v>
      </c>
      <c r="C2" s="181"/>
      <c r="D2" s="181"/>
      <c r="E2" s="181"/>
      <c r="F2" s="181"/>
      <c r="G2" s="181"/>
      <c r="H2" s="181"/>
      <c r="I2" s="181"/>
      <c r="J2" s="181"/>
      <c r="K2" s="181"/>
    </row>
    <row r="3" spans="2:11" ht="15" x14ac:dyDescent="0.2">
      <c r="B3" s="182" t="s">
        <v>1</v>
      </c>
      <c r="C3" s="182"/>
      <c r="D3" s="182"/>
      <c r="E3" s="182"/>
      <c r="F3" s="182"/>
      <c r="G3" s="182"/>
      <c r="H3" s="182"/>
      <c r="I3" s="182"/>
      <c r="J3" s="182"/>
      <c r="K3" s="182"/>
    </row>
    <row r="4" spans="2:11" ht="24.75" x14ac:dyDescent="0.3">
      <c r="B4" s="183" t="s">
        <v>2</v>
      </c>
      <c r="C4" s="183"/>
      <c r="D4" s="183"/>
      <c r="E4" s="183"/>
      <c r="F4" s="183"/>
      <c r="G4" s="183"/>
      <c r="H4" s="183"/>
      <c r="I4" s="183"/>
      <c r="J4" s="183"/>
      <c r="K4" s="183"/>
    </row>
    <row r="5" spans="2:11" s="3" customFormat="1" ht="18" customHeight="1" x14ac:dyDescent="0.2">
      <c r="I5" s="220" t="s">
        <v>3</v>
      </c>
      <c r="J5" s="4"/>
      <c r="K5" s="220" t="s">
        <v>4</v>
      </c>
    </row>
    <row r="6" spans="2:11" s="3" customFormat="1" x14ac:dyDescent="0.2">
      <c r="I6" s="4"/>
      <c r="J6" s="4"/>
      <c r="K6" s="4"/>
    </row>
    <row r="7" spans="2:11" s="3" customFormat="1" ht="18" customHeight="1" x14ac:dyDescent="0.2">
      <c r="I7" s="220" t="s">
        <v>5</v>
      </c>
      <c r="J7" s="4"/>
      <c r="K7" s="220" t="s">
        <v>6</v>
      </c>
    </row>
    <row r="8" spans="2:11" s="3" customFormat="1" x14ac:dyDescent="0.2">
      <c r="I8" s="4"/>
      <c r="J8" s="4"/>
      <c r="K8" s="4"/>
    </row>
    <row r="9" spans="2:11" s="3" customFormat="1" ht="18" customHeight="1" x14ac:dyDescent="0.2">
      <c r="I9" s="220" t="s">
        <v>7</v>
      </c>
      <c r="J9" s="4"/>
      <c r="K9" s="220" t="s">
        <v>8</v>
      </c>
    </row>
    <row r="10" spans="2:11" s="3" customFormat="1" x14ac:dyDescent="0.2">
      <c r="I10" s="4"/>
      <c r="J10" s="4"/>
      <c r="K10" s="4"/>
    </row>
    <row r="11" spans="2:11" s="3" customFormat="1" ht="18" customHeight="1" x14ac:dyDescent="0.2">
      <c r="I11" s="220" t="s">
        <v>9</v>
      </c>
      <c r="J11" s="4"/>
      <c r="K11" s="220" t="s">
        <v>10</v>
      </c>
    </row>
    <row r="12" spans="2:11" s="3" customFormat="1" x14ac:dyDescent="0.2">
      <c r="I12" s="4"/>
      <c r="J12" s="4"/>
      <c r="K12" s="4"/>
    </row>
    <row r="13" spans="2:11" s="3" customFormat="1" ht="18" customHeight="1" x14ac:dyDescent="0.2">
      <c r="I13" s="220" t="s">
        <v>11</v>
      </c>
      <c r="J13" s="4"/>
      <c r="K13" s="220" t="s">
        <v>12</v>
      </c>
    </row>
    <row r="14" spans="2:11" s="3" customFormat="1" x14ac:dyDescent="0.2">
      <c r="I14" s="4"/>
      <c r="J14" s="4"/>
      <c r="K14" s="4"/>
    </row>
    <row r="15" spans="2:11" s="3" customFormat="1" ht="18" customHeight="1" x14ac:dyDescent="0.2">
      <c r="I15" s="220" t="s">
        <v>13</v>
      </c>
      <c r="J15" s="5"/>
      <c r="K15" s="220" t="s">
        <v>14</v>
      </c>
    </row>
    <row r="16" spans="2:11" s="3" customFormat="1" x14ac:dyDescent="0.2">
      <c r="B16"/>
      <c r="C16"/>
      <c r="D16"/>
      <c r="I16" s="6"/>
      <c r="J16" s="6"/>
      <c r="K16" s="6"/>
    </row>
    <row r="17" spans="2:11" s="3" customFormat="1" ht="18" customHeight="1" x14ac:dyDescent="0.2">
      <c r="B17"/>
      <c r="C17"/>
      <c r="D17"/>
      <c r="I17" s="7"/>
      <c r="K17" s="6"/>
    </row>
    <row r="18" spans="2:11" x14ac:dyDescent="0.2">
      <c r="B18"/>
      <c r="C18"/>
      <c r="D18"/>
      <c r="I18" s="8"/>
      <c r="J18" s="8"/>
      <c r="K18" s="8"/>
    </row>
    <row r="19" spans="2:11" x14ac:dyDescent="0.2">
      <c r="B19" s="184" t="s">
        <v>15</v>
      </c>
      <c r="C19" s="184" t="s">
        <v>16</v>
      </c>
      <c r="D19" s="184" t="s">
        <v>16</v>
      </c>
      <c r="J19" s="9"/>
      <c r="K19" s="8"/>
    </row>
    <row r="20" spans="2:11" x14ac:dyDescent="0.2">
      <c r="H20" s="10"/>
    </row>
    <row r="21" spans="2:11" x14ac:dyDescent="0.2">
      <c r="E21" s="185" t="s">
        <v>17</v>
      </c>
      <c r="F21" s="185"/>
      <c r="G21" s="185"/>
      <c r="H21" s="11"/>
      <c r="K21" s="12"/>
    </row>
    <row r="22" spans="2:11" x14ac:dyDescent="0.2">
      <c r="E22" s="186"/>
      <c r="F22" s="186"/>
      <c r="G22" s="186"/>
    </row>
  </sheetData>
  <sheetProtection sheet="1" objects="1" scenarios="1"/>
  <mergeCells count="6">
    <mergeCell ref="B2:K2"/>
    <mergeCell ref="B3:K3"/>
    <mergeCell ref="B4:K4"/>
    <mergeCell ref="B19:D19"/>
    <mergeCell ref="E21:G21"/>
    <mergeCell ref="E22:G22"/>
  </mergeCells>
  <hyperlinks>
    <hyperlink ref="I5" location="'Grupo A'!A1" display="Grupo A"/>
    <hyperlink ref="K5" location="'Grupo B'!A1" display="Grupo B"/>
    <hyperlink ref="I7" location="'Grupo C'!A1" display="Grupo C"/>
    <hyperlink ref="K7" location="'Grupo D'!A1" display="Grupo D"/>
    <hyperlink ref="I9" location="'Grupo E'!A1" display="Grupo E"/>
    <hyperlink ref="K9" location="'Grupo F'!A1" display="Grupo F"/>
    <hyperlink ref="I11" location="'Grupo G'!A1" display="Grupo G"/>
    <hyperlink ref="K11" location="'Grupo H'!A1" display="Grupo H"/>
    <hyperlink ref="I13" location="'Octavos de Final'!A1" display="Octavos de Final"/>
    <hyperlink ref="K13" location="'Cuartos de Final'!A1" display="Cuatos de Final"/>
    <hyperlink ref="I15" location="Semifinal!A1" display="SemiFinal"/>
    <hyperlink ref="K15" location="'3er puesto y FINAL'!A1" display="FINAL"/>
    <hyperlink ref="B19" location="Fixture!A1" display="Fixture ( para imprimir )"/>
    <hyperlink ref="C19" location="Fixture!A1" display="#Fixture.A1"/>
    <hyperlink ref="D19" location="Fixture!A1" display="#Fixture.A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7"/>
  <sheetViews>
    <sheetView showGridLines="0" showRowColHeaders="0" showOutlineSymbols="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.7109375" style="52" customWidth="1"/>
    <col min="2" max="2" width="11.140625" style="52" customWidth="1"/>
    <col min="3" max="4" width="6.7109375" style="52" customWidth="1"/>
    <col min="5" max="5" width="14.7109375" style="52" customWidth="1"/>
    <col min="6" max="6" width="3.7109375" style="52" customWidth="1"/>
    <col min="7" max="7" width="2" style="52" customWidth="1"/>
    <col min="8" max="8" width="6.5703125" style="52" customWidth="1"/>
    <col min="9" max="9" width="11.7109375" style="52" customWidth="1"/>
    <col min="10" max="10" width="15.7109375" style="52" customWidth="1"/>
    <col min="11" max="11" width="4.7109375" style="52" customWidth="1"/>
    <col min="12" max="12" width="7.7109375" style="52" customWidth="1"/>
    <col min="13" max="13" width="5.42578125" style="52" customWidth="1"/>
    <col min="14" max="14" width="1.7109375" style="52" customWidth="1"/>
    <col min="15" max="15" width="11.42578125" style="52"/>
    <col min="16" max="17" width="0" style="52" hidden="1" customWidth="1"/>
    <col min="18" max="16384" width="11.42578125" style="52"/>
  </cols>
  <sheetData>
    <row r="1" spans="1:24" s="79" customFormat="1" ht="34.5" customHeight="1" x14ac:dyDescent="0.2">
      <c r="A1" s="198" t="s">
        <v>92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76"/>
      <c r="Q1" s="76"/>
      <c r="R1" s="76"/>
      <c r="S1" s="76"/>
      <c r="T1" s="77"/>
      <c r="U1" s="77"/>
      <c r="V1" s="78"/>
      <c r="W1" s="78"/>
      <c r="X1" s="78"/>
    </row>
    <row r="2" spans="1:24" s="79" customFormat="1" ht="34.5" customHeight="1" x14ac:dyDescent="0.2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76"/>
      <c r="Q2" s="76"/>
      <c r="R2" s="76"/>
      <c r="S2" s="76"/>
      <c r="T2" s="77"/>
      <c r="U2" s="77"/>
      <c r="V2" s="78"/>
      <c r="W2" s="78"/>
      <c r="X2" s="78"/>
    </row>
    <row r="3" spans="1:24" ht="15" customHeight="1" x14ac:dyDescent="0.2">
      <c r="A3" s="34"/>
      <c r="B3" s="34"/>
      <c r="C3" s="34"/>
      <c r="D3" s="34"/>
      <c r="E3" s="80"/>
      <c r="F3" s="35"/>
      <c r="G3" s="34"/>
      <c r="H3" s="34"/>
      <c r="I3" s="34"/>
      <c r="J3" s="34"/>
      <c r="K3" s="34"/>
      <c r="L3" s="81"/>
      <c r="M3" s="82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ht="12.75" customHeight="1" x14ac:dyDescent="0.25">
      <c r="A4" s="34"/>
      <c r="B4" s="34"/>
      <c r="C4" s="34"/>
      <c r="D4" s="34"/>
      <c r="E4" s="83"/>
      <c r="F4" s="82"/>
      <c r="G4" s="34"/>
      <c r="H4" s="34"/>
      <c r="I4" s="34"/>
      <c r="J4" s="34"/>
      <c r="K4" s="34"/>
      <c r="L4" s="84">
        <f ca="1">TODAY()</f>
        <v>42230</v>
      </c>
      <c r="M4" s="85">
        <f ca="1">NOW()</f>
        <v>42230.789250000002</v>
      </c>
      <c r="N4" s="34"/>
      <c r="O4" s="86" t="s">
        <v>18</v>
      </c>
      <c r="P4" s="34"/>
      <c r="Q4" s="34"/>
      <c r="R4" s="34"/>
      <c r="S4" s="34"/>
      <c r="T4" s="34"/>
      <c r="U4" s="34"/>
      <c r="V4" s="34"/>
      <c r="W4" s="34"/>
      <c r="X4" s="34"/>
    </row>
    <row r="5" spans="1:24" ht="12" customHeight="1" x14ac:dyDescent="0.25">
      <c r="A5" s="34"/>
      <c r="B5" s="199" t="s">
        <v>93</v>
      </c>
      <c r="C5" s="199"/>
      <c r="D5" s="199"/>
      <c r="E5" s="199" t="s">
        <v>94</v>
      </c>
      <c r="F5" s="199"/>
      <c r="G5" s="200" t="s">
        <v>95</v>
      </c>
      <c r="H5" s="200"/>
      <c r="I5" s="88"/>
      <c r="J5" s="87" t="s">
        <v>96</v>
      </c>
      <c r="K5" s="34"/>
      <c r="L5" s="89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ht="15" customHeight="1" x14ac:dyDescent="0.2">
      <c r="A6" s="90"/>
      <c r="B6" s="91"/>
      <c r="C6" s="91"/>
      <c r="D6" s="91"/>
      <c r="E6" s="91"/>
      <c r="F6" s="91"/>
      <c r="G6" s="91"/>
      <c r="H6" s="91"/>
      <c r="I6" s="91"/>
      <c r="J6" s="91"/>
      <c r="K6" s="34"/>
      <c r="L6" s="34"/>
      <c r="M6" s="34"/>
      <c r="N6" s="34"/>
      <c r="O6" s="34"/>
      <c r="P6" s="34" t="s">
        <v>97</v>
      </c>
      <c r="Q6" s="34">
        <f>SUM('Grupo A'!$H$17:$H$20)</f>
        <v>0</v>
      </c>
      <c r="R6" s="34"/>
      <c r="S6" s="34"/>
      <c r="T6" s="34"/>
      <c r="U6" s="34"/>
      <c r="V6" s="34"/>
      <c r="W6" s="34"/>
      <c r="X6" s="34"/>
    </row>
    <row r="7" spans="1:24" ht="12" customHeight="1" x14ac:dyDescent="0.2">
      <c r="A7" s="90"/>
      <c r="B7" s="91"/>
      <c r="C7" s="91"/>
      <c r="D7" s="91"/>
      <c r="E7" s="92" t="str">
        <f>IF('Grupo A'!H17=0,"1ero Grupo A",'Grupo A'!G17)</f>
        <v>1ero Grupo A</v>
      </c>
      <c r="F7" s="93"/>
      <c r="G7" s="94"/>
      <c r="H7" s="95"/>
      <c r="I7" s="91"/>
      <c r="J7" s="91"/>
      <c r="K7" s="34"/>
      <c r="L7" s="34"/>
      <c r="M7" s="34"/>
      <c r="N7" s="34"/>
      <c r="O7" s="34"/>
      <c r="P7" s="34" t="s">
        <v>98</v>
      </c>
      <c r="Q7" s="34">
        <f>SUM('Grupo B'!$H$17:$H$20)</f>
        <v>12</v>
      </c>
      <c r="R7" s="34"/>
      <c r="S7" s="34"/>
      <c r="T7" s="34"/>
      <c r="U7" s="34"/>
      <c r="V7" s="34"/>
      <c r="W7" s="34"/>
      <c r="X7" s="34"/>
    </row>
    <row r="8" spans="1:24" ht="12" customHeight="1" x14ac:dyDescent="0.2">
      <c r="A8" s="96" t="str">
        <f ca="1">IF(OR(E8="en juego",E8="hoy!",E8="finalizado"),"  -&gt;     1","1")</f>
        <v>1</v>
      </c>
      <c r="B8" s="97" t="s">
        <v>28</v>
      </c>
      <c r="C8" s="98">
        <v>38892</v>
      </c>
      <c r="D8" s="99">
        <v>0.5</v>
      </c>
      <c r="E8" s="100" t="str">
        <f ca="1">IF(OR(C8="",D8="",C8&lt;$L$4),"",IF(C8=$L$4,IF(AND(D8&lt;=$S$27,$S$27&lt;=(D8+0.08333333333)),"en juego",IF($S$27&lt;D8,"hoy!","finalizado")),IF($L$4&gt;C8,"finalizado","")))</f>
        <v/>
      </c>
      <c r="F8" s="101"/>
      <c r="G8" s="102"/>
      <c r="H8" s="103"/>
      <c r="I8" s="104"/>
      <c r="J8" s="105" t="str">
        <f>IF(OR(F7="",F9="",AND(F7=F9,OR(G7="",G9=""))),"OF1",IF(F7=F9,IF(G7&gt;G9,E7,E9),IF(F7&gt;F9,E7,E9)))</f>
        <v>OF1</v>
      </c>
      <c r="K8" s="34"/>
      <c r="L8" s="34"/>
      <c r="M8" s="34"/>
      <c r="N8" s="34"/>
      <c r="O8" s="34"/>
      <c r="P8" s="34" t="s">
        <v>99</v>
      </c>
      <c r="Q8" s="34">
        <f>SUM('Grupo C'!$H$17:$H$20)</f>
        <v>0</v>
      </c>
      <c r="R8" s="34"/>
      <c r="S8" s="34"/>
      <c r="T8" s="34"/>
      <c r="U8" s="34"/>
      <c r="V8" s="34"/>
      <c r="W8" s="34"/>
      <c r="X8" s="34"/>
    </row>
    <row r="9" spans="1:24" ht="12" customHeight="1" x14ac:dyDescent="0.2">
      <c r="A9" s="90"/>
      <c r="B9" s="106"/>
      <c r="C9" s="91"/>
      <c r="D9" s="91"/>
      <c r="E9" s="92" t="str">
        <f>IF('Grupo B'!H18=0,"2do Grupo B",'Grupo B'!G18)</f>
        <v>Suecia</v>
      </c>
      <c r="F9" s="93"/>
      <c r="G9" s="107"/>
      <c r="H9" s="108"/>
      <c r="I9" s="91"/>
      <c r="J9" s="91"/>
      <c r="K9" s="34"/>
      <c r="L9" s="34"/>
      <c r="M9" s="34"/>
      <c r="N9" s="34"/>
      <c r="O9" s="34"/>
      <c r="P9" s="34" t="s">
        <v>100</v>
      </c>
      <c r="Q9" s="34">
        <f>SUM('Grupo D'!$H$17:$H$20)</f>
        <v>0</v>
      </c>
      <c r="R9" s="34"/>
      <c r="S9" s="34"/>
      <c r="T9" s="34"/>
      <c r="U9" s="34"/>
      <c r="V9" s="34"/>
      <c r="W9" s="34"/>
      <c r="X9" s="34"/>
    </row>
    <row r="10" spans="1:24" ht="15" customHeight="1" x14ac:dyDescent="0.2">
      <c r="A10" s="90"/>
      <c r="B10" s="106"/>
      <c r="C10" s="91"/>
      <c r="D10" s="91"/>
      <c r="E10" s="91"/>
      <c r="F10" s="101"/>
      <c r="G10" s="91"/>
      <c r="H10" s="91"/>
      <c r="I10" s="91"/>
      <c r="J10" s="91"/>
      <c r="K10" s="34"/>
      <c r="L10" s="34"/>
      <c r="M10" s="34"/>
      <c r="N10" s="34"/>
      <c r="O10" s="34"/>
      <c r="P10" s="34" t="s">
        <v>41</v>
      </c>
      <c r="Q10" s="34">
        <f>SUM('Grupo E'!$H$17:$H$20)</f>
        <v>0</v>
      </c>
      <c r="R10" s="34"/>
      <c r="S10" s="34"/>
      <c r="T10" s="34"/>
      <c r="U10" s="34"/>
      <c r="V10" s="34"/>
      <c r="W10" s="34"/>
      <c r="X10" s="34"/>
    </row>
    <row r="11" spans="1:24" ht="12" customHeight="1" x14ac:dyDescent="0.2">
      <c r="A11" s="90"/>
      <c r="B11" s="106"/>
      <c r="C11" s="98"/>
      <c r="D11" s="91"/>
      <c r="E11" s="92" t="str">
        <f>IF('Grupo C'!H17=0,"1ero Grupo C",'Grupo C'!G17)</f>
        <v>1ero Grupo C</v>
      </c>
      <c r="F11" s="93"/>
      <c r="G11" s="94"/>
      <c r="H11" s="95"/>
      <c r="I11" s="91"/>
      <c r="J11" s="91"/>
      <c r="K11" s="34"/>
      <c r="L11" s="34"/>
      <c r="M11" s="34"/>
      <c r="N11" s="34"/>
      <c r="O11" s="34"/>
      <c r="P11" s="34" t="s">
        <v>101</v>
      </c>
      <c r="Q11" s="34">
        <f>SUM('Grupo F'!$H$17:$H$20)</f>
        <v>0</v>
      </c>
      <c r="R11" s="34"/>
      <c r="S11" s="34"/>
      <c r="T11" s="34"/>
      <c r="U11" s="34"/>
      <c r="V11" s="34"/>
      <c r="W11" s="34"/>
      <c r="X11" s="34"/>
    </row>
    <row r="12" spans="1:24" ht="12" customHeight="1" x14ac:dyDescent="0.2">
      <c r="A12" s="96" t="str">
        <f ca="1">IF(OR(E12="en juego",E12="hoy!",E12="finalizado"),"  -&gt;     2","2")</f>
        <v>2</v>
      </c>
      <c r="B12" s="97" t="s">
        <v>60</v>
      </c>
      <c r="C12" s="98">
        <v>38892</v>
      </c>
      <c r="D12" s="99">
        <v>0.66666666666666663</v>
      </c>
      <c r="E12" s="100" t="str">
        <f ca="1">IF(OR(C12="",D12="",C12&lt;$L$4),"",IF(C12=$L$4,IF(AND(D12&lt;=$S$27,$S$27&lt;=(D12+0.08333333333)),"en juego",IF($S$27&lt;D12,"hoy!","finalizado")),IF($L$4&gt;C12,"finalizado","")))</f>
        <v/>
      </c>
      <c r="F12" s="101"/>
      <c r="G12" s="102"/>
      <c r="H12" s="103"/>
      <c r="I12" s="104"/>
      <c r="J12" s="105" t="str">
        <f>IF(OR(F11="",F13="",AND(F11=F13,OR(G11="",G13=""))),"OF2",IF(F11=F13,IF(G11&gt;G13,E11,E13),IF(F11&gt;F13,E11,E13)))</f>
        <v>OF2</v>
      </c>
      <c r="K12" s="34"/>
      <c r="L12" s="34"/>
      <c r="M12" s="34"/>
      <c r="N12" s="34"/>
      <c r="O12" s="34"/>
      <c r="P12" s="34" t="s">
        <v>40</v>
      </c>
      <c r="Q12" s="34">
        <f>SUM('Grupo G'!$H$17:$H$20)</f>
        <v>0</v>
      </c>
      <c r="R12" s="34"/>
      <c r="S12" s="34"/>
      <c r="T12" s="34"/>
      <c r="U12" s="34"/>
      <c r="V12" s="34"/>
      <c r="W12" s="34"/>
      <c r="X12" s="34"/>
    </row>
    <row r="13" spans="1:24" ht="12" customHeight="1" x14ac:dyDescent="0.2">
      <c r="A13" s="90"/>
      <c r="B13" s="106"/>
      <c r="C13" s="91"/>
      <c r="D13" s="91"/>
      <c r="E13" s="92" t="str">
        <f>IF('Grupo D'!H18=0,"2do Grupo D",'Grupo D'!G18)</f>
        <v>2do Grupo D</v>
      </c>
      <c r="F13" s="93"/>
      <c r="G13" s="107"/>
      <c r="H13" s="108"/>
      <c r="I13" s="91"/>
      <c r="J13" s="91"/>
      <c r="K13" s="34"/>
      <c r="L13" s="34"/>
      <c r="M13" s="34"/>
      <c r="N13" s="34"/>
      <c r="O13" s="34"/>
      <c r="P13" s="34" t="s">
        <v>102</v>
      </c>
      <c r="Q13" s="34">
        <f>SUM('Grupo H'!$H$17:$H$20)</f>
        <v>0</v>
      </c>
      <c r="R13" s="34"/>
      <c r="S13" s="34"/>
      <c r="T13" s="34"/>
      <c r="U13" s="34"/>
      <c r="V13" s="34"/>
      <c r="W13" s="34"/>
      <c r="X13" s="34"/>
    </row>
    <row r="14" spans="1:24" ht="15" customHeight="1" x14ac:dyDescent="0.2">
      <c r="A14" s="90"/>
      <c r="B14" s="106"/>
      <c r="C14" s="91"/>
      <c r="D14" s="91"/>
      <c r="E14" s="91"/>
      <c r="F14" s="101"/>
      <c r="G14" s="91"/>
      <c r="H14" s="91"/>
      <c r="I14" s="91"/>
      <c r="J14" s="91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ht="12" customHeight="1" x14ac:dyDescent="0.2">
      <c r="A15" s="90"/>
      <c r="B15" s="106"/>
      <c r="C15" s="91"/>
      <c r="D15" s="91"/>
      <c r="E15" s="92" t="str">
        <f>IF('Grupo B'!H17=0,"1ero Grupo B",'Grupo B'!G17)</f>
        <v>Inglaterra</v>
      </c>
      <c r="F15" s="93"/>
      <c r="G15" s="94"/>
      <c r="H15" s="95"/>
      <c r="I15" s="91"/>
      <c r="J15" s="91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ht="12" customHeight="1" x14ac:dyDescent="0.2">
      <c r="A16" s="96" t="str">
        <f ca="1">IF(OR(E16="en juego",E16="hoy!",E16="finalizado"),"  -&gt;     3","3")</f>
        <v>3</v>
      </c>
      <c r="B16" s="97" t="s">
        <v>62</v>
      </c>
      <c r="C16" s="98">
        <v>38893</v>
      </c>
      <c r="D16" s="99">
        <v>0.5</v>
      </c>
      <c r="E16" s="100" t="str">
        <f ca="1">IF(OR(C16="",D16="",C16&lt;$L$4),"",IF(C16=$L$4,IF(AND(D16&lt;=$S$27,$S$27&lt;=(D16+0.08333333333)),"en juego",IF($S$27&lt;D16,"hoy!","finalizado")),IF($L$4&gt;C16,"finalizado","")))</f>
        <v/>
      </c>
      <c r="F16" s="101"/>
      <c r="G16" s="102"/>
      <c r="H16" s="103"/>
      <c r="I16" s="104"/>
      <c r="J16" s="105" t="str">
        <f>IF(OR(F15="",F17="",AND(F15=F17,OR(G15="",G17=""))),"OF3",IF(F15=F17,IF(G15&gt;G17,E15,E17),IF(F15&gt;F17,E15,E17)))</f>
        <v>OF3</v>
      </c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1:24" ht="12" customHeight="1" x14ac:dyDescent="0.2">
      <c r="A17" s="90"/>
      <c r="B17" s="106"/>
      <c r="C17" s="91"/>
      <c r="D17" s="91"/>
      <c r="E17" s="92" t="str">
        <f>IF('Grupo A'!H18=0,"2do Grupo A",'Grupo A'!G18)</f>
        <v>2do Grupo A</v>
      </c>
      <c r="F17" s="93"/>
      <c r="G17" s="107"/>
      <c r="H17" s="108"/>
      <c r="I17" s="91"/>
      <c r="J17" s="91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1:24" ht="15" customHeight="1" x14ac:dyDescent="0.2">
      <c r="A18" s="90"/>
      <c r="B18" s="106"/>
      <c r="C18" s="91"/>
      <c r="D18" s="91"/>
      <c r="E18" s="91"/>
      <c r="F18" s="101"/>
      <c r="G18" s="91"/>
      <c r="H18" s="91"/>
      <c r="I18" s="91"/>
      <c r="J18" s="91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1:24" ht="12" customHeight="1" x14ac:dyDescent="0.2">
      <c r="A19" s="90"/>
      <c r="B19" s="106"/>
      <c r="C19" s="91"/>
      <c r="D19" s="91"/>
      <c r="E19" s="92" t="str">
        <f>IF('Grupo D'!H17=0,"1ero Grupo D",'Grupo D'!G17)</f>
        <v>1ero Grupo D</v>
      </c>
      <c r="F19" s="93"/>
      <c r="G19" s="94"/>
      <c r="H19" s="95"/>
      <c r="I19" s="91"/>
      <c r="J19" s="91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ht="12" customHeight="1" x14ac:dyDescent="0.2">
      <c r="A20" s="96" t="str">
        <f ca="1">IF(OR(E20="en juego",E20="hoy!",E20="finalizado"),"  -&gt;     4","4")</f>
        <v>4</v>
      </c>
      <c r="B20" s="97" t="s">
        <v>52</v>
      </c>
      <c r="C20" s="98">
        <v>38893</v>
      </c>
      <c r="D20" s="99">
        <v>0.66666666666666663</v>
      </c>
      <c r="E20" s="100" t="str">
        <f ca="1">IF(OR(C20="",D20="",C20&lt;$L$4),"",IF(C20=$L$4,IF(AND(D20&lt;=$S$27,$S$27&lt;=(D20+0.08333333333)),"en juego",IF($S$27&lt;D20,"hoy!","finalizado")),IF($L$4&gt;C20,"finalizado","")))</f>
        <v/>
      </c>
      <c r="F20" s="101"/>
      <c r="G20" s="102"/>
      <c r="H20" s="103"/>
      <c r="I20" s="104"/>
      <c r="J20" s="105" t="str">
        <f>IF(OR(F19="",F21="",AND(F19=F21,OR(G19="",G21=""))),"OF4",IF(F19=F21,IF(G19&gt;G21,E19,E21),IF(F19&gt;F21,E19,E21)))</f>
        <v>OF4</v>
      </c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4" ht="12" customHeight="1" x14ac:dyDescent="0.2">
      <c r="A21" s="90"/>
      <c r="B21" s="106"/>
      <c r="C21" s="91"/>
      <c r="D21" s="91"/>
      <c r="E21" s="92" t="str">
        <f>IF('Grupo C'!H18=0,"2do Grupo C",'Grupo C'!G18)</f>
        <v>2do Grupo C</v>
      </c>
      <c r="F21" s="93"/>
      <c r="G21" s="107"/>
      <c r="H21" s="108"/>
      <c r="I21" s="91"/>
      <c r="J21" s="91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ht="15" customHeight="1" x14ac:dyDescent="0.2">
      <c r="A22" s="90"/>
      <c r="B22" s="106"/>
      <c r="C22" s="91"/>
      <c r="D22" s="91"/>
      <c r="E22" s="91"/>
      <c r="F22" s="101"/>
      <c r="G22" s="91"/>
      <c r="H22" s="91"/>
      <c r="I22" s="91"/>
      <c r="J22" s="91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ht="12" customHeight="1" x14ac:dyDescent="0.2">
      <c r="A23" s="90"/>
      <c r="B23" s="106"/>
      <c r="C23" s="91"/>
      <c r="D23" s="91"/>
      <c r="E23" s="92" t="str">
        <f>IF('Grupo E'!H17=0,"1ero Grupo E",'Grupo E'!G17)</f>
        <v>1ero Grupo E</v>
      </c>
      <c r="F23" s="93"/>
      <c r="G23" s="94"/>
      <c r="H23" s="95"/>
      <c r="I23" s="91"/>
      <c r="J23" s="91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spans="1:24" ht="12" customHeight="1" x14ac:dyDescent="0.2">
      <c r="A24" s="96" t="str">
        <f ca="1">IF(OR(E24="en juego",E24="hoy!",E24="finalizado"),"  -&gt;     5","5")</f>
        <v>5</v>
      </c>
      <c r="B24" s="97" t="s">
        <v>55</v>
      </c>
      <c r="C24" s="98">
        <v>38894</v>
      </c>
      <c r="D24" s="99">
        <v>0.5</v>
      </c>
      <c r="E24" s="100" t="str">
        <f ca="1">IF(OR(C24="",D24="",C24&lt;$L$4),"",IF(C24=$L$4,IF(AND(D24&lt;=$S$27,$S$27&lt;=(D24+0.08333333333)),"en juego",IF($S$27&lt;D24,"hoy!","finalizado")),IF($L$4&gt;C24,"finalizado","")))</f>
        <v/>
      </c>
      <c r="F24" s="101"/>
      <c r="G24" s="102"/>
      <c r="H24" s="103"/>
      <c r="I24" s="104"/>
      <c r="J24" s="105" t="str">
        <f>IF(OR(F23="",F25="",AND(F23=F25,OR(G23="",G25=""))),"OF5",IF(F23=F25,IF(G23&gt;G25,E23,E25),IF(F23&gt;F25,E23,E25)))</f>
        <v>OF5</v>
      </c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spans="1:24" ht="12" customHeight="1" x14ac:dyDescent="0.2">
      <c r="A25" s="90"/>
      <c r="B25" s="106"/>
      <c r="C25" s="91"/>
      <c r="D25" s="91"/>
      <c r="E25" s="92" t="str">
        <f>IF('Grupo F'!H18=0,"2do Grupo F",'Grupo F'!G18)</f>
        <v>2do Grupo F</v>
      </c>
      <c r="F25" s="93"/>
      <c r="G25" s="107"/>
      <c r="H25" s="108"/>
      <c r="I25" s="91"/>
      <c r="J25" s="91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4" hidden="1" x14ac:dyDescent="0.2">
      <c r="A26" s="90"/>
      <c r="B26" s="106"/>
      <c r="C26" s="91"/>
      <c r="D26" s="91"/>
      <c r="E26" s="91"/>
      <c r="F26" s="101"/>
      <c r="G26" s="91"/>
      <c r="H26" s="91"/>
      <c r="I26" s="91"/>
      <c r="J26" s="91"/>
      <c r="K26" s="34"/>
      <c r="L26" s="34"/>
      <c r="M26" s="34"/>
      <c r="N26" s="34"/>
      <c r="O26" s="34"/>
      <c r="P26" s="34"/>
      <c r="Q26" s="34"/>
      <c r="R26" s="109">
        <f ca="1">HOUR(M4)</f>
        <v>18</v>
      </c>
      <c r="S26" s="109">
        <f ca="1">MINUTE(M4)</f>
        <v>56</v>
      </c>
      <c r="T26" s="34"/>
      <c r="U26" s="34"/>
      <c r="V26" s="34"/>
      <c r="W26" s="34"/>
      <c r="X26" s="34"/>
    </row>
    <row r="27" spans="1:24" hidden="1" x14ac:dyDescent="0.2">
      <c r="A27" s="90"/>
      <c r="B27" s="106"/>
      <c r="C27" s="91"/>
      <c r="D27" s="91"/>
      <c r="E27" s="91"/>
      <c r="F27" s="101"/>
      <c r="G27" s="91"/>
      <c r="H27" s="91"/>
      <c r="I27" s="91"/>
      <c r="J27" s="91"/>
      <c r="K27" s="34"/>
      <c r="L27" s="34"/>
      <c r="M27" s="34"/>
      <c r="N27" s="34"/>
      <c r="O27" s="34"/>
      <c r="P27" s="34"/>
      <c r="Q27" s="34"/>
      <c r="R27" s="109"/>
      <c r="S27" s="110">
        <f ca="1">TIME(R26,S26,0)</f>
        <v>0.78888888888888886</v>
      </c>
      <c r="T27" s="34"/>
      <c r="U27" s="34"/>
      <c r="V27" s="34"/>
      <c r="W27" s="34"/>
      <c r="X27" s="34"/>
    </row>
    <row r="28" spans="1:24" ht="15" customHeight="1" x14ac:dyDescent="0.2">
      <c r="A28" s="90"/>
      <c r="B28" s="106"/>
      <c r="C28" s="91"/>
      <c r="D28" s="91"/>
      <c r="E28" s="91"/>
      <c r="F28" s="101"/>
      <c r="G28" s="91"/>
      <c r="H28" s="91"/>
      <c r="I28" s="91"/>
      <c r="J28" s="91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spans="1:24" ht="12" customHeight="1" x14ac:dyDescent="0.2">
      <c r="A29" s="90"/>
      <c r="B29" s="106"/>
      <c r="C29" s="91"/>
      <c r="D29" s="91"/>
      <c r="E29" s="92" t="str">
        <f>IF('Grupo G'!H17=0,"1ero Grupo G",'Grupo G'!G17)</f>
        <v>1ero Grupo G</v>
      </c>
      <c r="F29" s="93"/>
      <c r="G29" s="94"/>
      <c r="H29" s="95"/>
      <c r="I29" s="91"/>
      <c r="J29" s="91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1:24" ht="12" customHeight="1" x14ac:dyDescent="0.2">
      <c r="A30" s="96" t="str">
        <f ca="1">IF(OR(E30="en juego",E30="hoy!",E30="finalizado"),"  -&gt;     6","6")</f>
        <v>6</v>
      </c>
      <c r="B30" s="97" t="s">
        <v>54</v>
      </c>
      <c r="C30" s="98">
        <v>38894</v>
      </c>
      <c r="D30" s="99">
        <v>0.66666666666666663</v>
      </c>
      <c r="E30" s="100" t="str">
        <f ca="1">IF(OR(C30="",D30="",C30&lt;$L$4),"",IF(C30=$L$4,IF(AND(D30&lt;=$S$27,$S$27&lt;=(D30+0.08333333333)),"en juego",IF($S$27&lt;D30,"hoy!","finalizado")),IF($L$4&gt;C30,"finalizado","")))</f>
        <v/>
      </c>
      <c r="F30" s="101"/>
      <c r="G30" s="102"/>
      <c r="H30" s="103"/>
      <c r="I30" s="104"/>
      <c r="J30" s="105" t="str">
        <f>IF(OR(F29="",F31="",AND(F29=F31,OR(G29="",G31=""))),"OF6",IF(F29=F31,IF(G29&gt;G31,E29,E31),IF(F29&gt;F31,E29,E31)))</f>
        <v>OF6</v>
      </c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spans="1:24" ht="12" customHeight="1" x14ac:dyDescent="0.2">
      <c r="A31" s="90"/>
      <c r="B31" s="106"/>
      <c r="C31" s="91"/>
      <c r="D31" s="91"/>
      <c r="E31" s="92" t="str">
        <f>IF('Grupo H'!H18=0,"2do Grupo H",'Grupo H'!G18)</f>
        <v>2do Grupo H</v>
      </c>
      <c r="F31" s="93"/>
      <c r="G31" s="107"/>
      <c r="H31" s="108"/>
      <c r="I31" s="91"/>
      <c r="J31" s="91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</row>
    <row r="32" spans="1:24" ht="15" customHeight="1" x14ac:dyDescent="0.2">
      <c r="A32" s="90"/>
      <c r="B32" s="106"/>
      <c r="C32" s="91"/>
      <c r="D32" s="91"/>
      <c r="E32" s="91"/>
      <c r="F32" s="101"/>
      <c r="G32" s="91"/>
      <c r="H32" s="91"/>
      <c r="I32" s="91"/>
      <c r="J32" s="91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spans="1:24" ht="12" customHeight="1" x14ac:dyDescent="0.2">
      <c r="A33" s="90"/>
      <c r="B33" s="106"/>
      <c r="C33" s="91"/>
      <c r="D33" s="91"/>
      <c r="E33" s="92" t="str">
        <f>IF('Grupo F'!H17=0,"1ero Grupo F",'Grupo F'!G17)</f>
        <v>1ero Grupo F</v>
      </c>
      <c r="F33" s="93"/>
      <c r="G33" s="94"/>
      <c r="H33" s="95"/>
      <c r="I33" s="91"/>
      <c r="J33" s="91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24" ht="12" customHeight="1" x14ac:dyDescent="0.2">
      <c r="A34" s="96" t="str">
        <f ca="1">IF(OR(E34="en juego",E34="hoy!",E34="finalizado"),"  -&gt;     7","7")</f>
        <v>7</v>
      </c>
      <c r="B34" s="97" t="s">
        <v>31</v>
      </c>
      <c r="C34" s="98">
        <v>38895</v>
      </c>
      <c r="D34" s="99">
        <v>0.5</v>
      </c>
      <c r="E34" s="100" t="str">
        <f ca="1">IF(OR(C34="",D34="",C34&lt;$L$4),"",IF(C34=$L$4,IF(AND(D34&lt;=$S$27,$S$27&lt;=(D34+0.08333333333)),"en juego",IF($S$27&lt;D34,"hoy!","finalizado")),IF($L$4&gt;C34,"finalizado","")))</f>
        <v/>
      </c>
      <c r="F34" s="101"/>
      <c r="G34" s="102"/>
      <c r="H34" s="103"/>
      <c r="I34" s="104"/>
      <c r="J34" s="105" t="str">
        <f>IF(OR(F33="",F35="",AND(F33=F35,OR(G33="",G35=""))),"OF7",IF(F33=F35,IF(G33&gt;G35,E33,E35),IF(F33&gt;F35,E33,E35)))</f>
        <v>OF7</v>
      </c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</row>
    <row r="35" spans="1:24" ht="12" customHeight="1" x14ac:dyDescent="0.2">
      <c r="A35" s="90"/>
      <c r="B35" s="106"/>
      <c r="C35" s="91"/>
      <c r="D35" s="91"/>
      <c r="E35" s="92" t="str">
        <f>IF('Grupo E'!H18=0,"2do Grupo E",'Grupo E'!G18)</f>
        <v>2do Grupo E</v>
      </c>
      <c r="F35" s="93"/>
      <c r="G35" s="107"/>
      <c r="H35" s="108"/>
      <c r="I35" s="91"/>
      <c r="J35" s="91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ht="15" customHeight="1" x14ac:dyDescent="0.2">
      <c r="A36" s="90"/>
      <c r="B36" s="106"/>
      <c r="C36" s="91"/>
      <c r="D36" s="91"/>
      <c r="E36" s="91"/>
      <c r="F36" s="101"/>
      <c r="G36" s="91"/>
      <c r="H36" s="91"/>
      <c r="I36" s="91"/>
      <c r="J36" s="91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</row>
    <row r="37" spans="1:24" ht="12" customHeight="1" x14ac:dyDescent="0.2">
      <c r="A37" s="90"/>
      <c r="B37" s="106"/>
      <c r="C37" s="91"/>
      <c r="D37" s="91"/>
      <c r="E37" s="92" t="str">
        <f>IF('Grupo H'!H17=0,"1ero Grupo H",'Grupo H'!G17)</f>
        <v>1ero Grupo H</v>
      </c>
      <c r="F37" s="93"/>
      <c r="G37" s="94"/>
      <c r="H37" s="95"/>
      <c r="I37" s="91"/>
      <c r="J37" s="91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</row>
    <row r="38" spans="1:24" ht="12" customHeight="1" x14ac:dyDescent="0.2">
      <c r="A38" s="96" t="str">
        <f ca="1">IF(OR(E38="en juego",E38="hoy!",E38="finalizado"),"  -&gt;     8","8")</f>
        <v>8</v>
      </c>
      <c r="B38" s="97" t="s">
        <v>35</v>
      </c>
      <c r="C38" s="98">
        <v>38895</v>
      </c>
      <c r="D38" s="99">
        <v>0.66666666666666663</v>
      </c>
      <c r="E38" s="100" t="str">
        <f ca="1">IF(OR(C38="",D38="",C38&lt;$L$4),"",IF(C38=$L$4,IF(AND(D38&lt;=$S$27,$S$27&lt;=(D38+0.08333333333)),"en juego",IF($S$27&lt;D38,"hoy!","finalizado")),IF($L$4&gt;C38,"finalizado","")))</f>
        <v/>
      </c>
      <c r="F38" s="101"/>
      <c r="G38" s="102"/>
      <c r="H38" s="103"/>
      <c r="I38" s="104"/>
      <c r="J38" s="105" t="str">
        <f>IF(OR(F37="",F39="",AND(F37=F39,OR(G37="",G39=""))),"OF8",IF(F37=F39,IF(G37&gt;G39,E37,E39),IF(F37&gt;F39,E37,E39)))</f>
        <v>OF8</v>
      </c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spans="1:24" ht="12" customHeight="1" x14ac:dyDescent="0.2">
      <c r="A39" s="90"/>
      <c r="B39" s="91"/>
      <c r="C39" s="91"/>
      <c r="D39" s="91"/>
      <c r="E39" s="92" t="str">
        <f>IF('Grupo G'!H18=0,"2do Grupo G",'Grupo G'!G18)</f>
        <v>2do Grupo G</v>
      </c>
      <c r="F39" s="93"/>
      <c r="G39" s="107"/>
      <c r="H39" s="108"/>
      <c r="I39" s="91"/>
      <c r="J39" s="91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</row>
    <row r="40" spans="1:24" ht="15" customHeight="1" x14ac:dyDescent="0.2">
      <c r="A40" s="111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</row>
    <row r="41" spans="1:24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</row>
    <row r="42" spans="1:24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</row>
    <row r="43" spans="1:24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</row>
    <row r="44" spans="1:24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</row>
    <row r="45" spans="1:24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</row>
    <row r="46" spans="1:24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</row>
    <row r="47" spans="1:24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</row>
    <row r="48" spans="1:24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</row>
    <row r="49" spans="1:24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</row>
    <row r="50" spans="1:24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</row>
    <row r="51" spans="1:24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</row>
    <row r="52" spans="1:24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</row>
    <row r="53" spans="1:24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</row>
    <row r="54" spans="1:24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</row>
    <row r="55" spans="1:24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</row>
    <row r="56" spans="1:24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</row>
    <row r="57" spans="1:24" x14ac:dyDescent="0.2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</row>
    <row r="58" spans="1:24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</row>
    <row r="59" spans="1:24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</row>
    <row r="60" spans="1:24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</row>
    <row r="61" spans="1:24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</row>
    <row r="62" spans="1:24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</row>
    <row r="63" spans="1:24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</row>
    <row r="64" spans="1:24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</row>
    <row r="65" spans="1:24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</row>
    <row r="66" spans="1:24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</row>
    <row r="67" spans="1:24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</row>
    <row r="68" spans="1:24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</row>
    <row r="69" spans="1:24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</row>
    <row r="70" spans="1:24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</row>
    <row r="71" spans="1:24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</row>
    <row r="72" spans="1:24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</row>
    <row r="73" spans="1:24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</row>
    <row r="74" spans="1:24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</row>
    <row r="75" spans="1:24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</row>
    <row r="76" spans="1:24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</row>
    <row r="77" spans="1:24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</row>
    <row r="78" spans="1:24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</row>
    <row r="79" spans="1:24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</row>
    <row r="80" spans="1:24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</row>
    <row r="81" spans="1:24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</row>
    <row r="82" spans="1:24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</row>
    <row r="83" spans="1:24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</row>
    <row r="84" spans="1:24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</row>
    <row r="85" spans="1:24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</row>
    <row r="86" spans="1:24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</row>
    <row r="87" spans="1:24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</row>
    <row r="88" spans="1:24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</row>
    <row r="89" spans="1:24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</row>
    <row r="90" spans="1:24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</row>
    <row r="91" spans="1:24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</row>
    <row r="92" spans="1:24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</row>
    <row r="93" spans="1:24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</row>
    <row r="94" spans="1:24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</row>
    <row r="95" spans="1:24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</row>
    <row r="96" spans="1:24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</row>
    <row r="97" spans="1:24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</row>
    <row r="98" spans="1:24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</row>
    <row r="99" spans="1:24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</row>
    <row r="100" spans="1:24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</row>
    <row r="101" spans="1:24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</row>
    <row r="102" spans="1:24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  <row r="103" spans="1:24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</row>
    <row r="104" spans="1:24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24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24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24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spans="1:24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</row>
    <row r="109" spans="1:24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</row>
    <row r="110" spans="1:24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</row>
    <row r="111" spans="1:24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</row>
    <row r="112" spans="1:24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</row>
    <row r="113" spans="1:24" x14ac:dyDescent="0.2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</row>
    <row r="114" spans="1:24" x14ac:dyDescent="0.2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</row>
    <row r="115" spans="1:24" x14ac:dyDescent="0.2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</row>
    <row r="116" spans="1:24" x14ac:dyDescent="0.2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</row>
    <row r="117" spans="1:24" x14ac:dyDescent="0.2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</row>
    <row r="118" spans="1:24" x14ac:dyDescent="0.2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</row>
    <row r="119" spans="1:24" x14ac:dyDescent="0.2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</row>
    <row r="120" spans="1:24" x14ac:dyDescent="0.2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</row>
    <row r="121" spans="1:24" x14ac:dyDescent="0.2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</row>
    <row r="122" spans="1:24" x14ac:dyDescent="0.2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</row>
    <row r="123" spans="1:24" x14ac:dyDescent="0.2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</row>
    <row r="124" spans="1:24" x14ac:dyDescent="0.2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</row>
    <row r="125" spans="1:24" x14ac:dyDescent="0.2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</row>
    <row r="126" spans="1:24" x14ac:dyDescent="0.2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</row>
    <row r="127" spans="1:24" x14ac:dyDescent="0.2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</row>
    <row r="128" spans="1:24" x14ac:dyDescent="0.2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</row>
    <row r="129" spans="1:24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</row>
    <row r="130" spans="1:24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</row>
    <row r="131" spans="1:24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</row>
    <row r="132" spans="1:24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</row>
    <row r="133" spans="1:24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</row>
    <row r="134" spans="1:24" x14ac:dyDescent="0.2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</row>
    <row r="135" spans="1:24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</row>
    <row r="136" spans="1:24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</row>
    <row r="137" spans="1:24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</row>
    <row r="138" spans="1:24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</row>
    <row r="139" spans="1:24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</row>
    <row r="140" spans="1:24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</row>
    <row r="141" spans="1:24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</row>
    <row r="142" spans="1:24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</row>
    <row r="143" spans="1:24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</row>
    <row r="144" spans="1:24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</row>
    <row r="145" spans="1:24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</row>
    <row r="146" spans="1:24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</row>
    <row r="147" spans="1:24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</row>
    <row r="148" spans="1:24" x14ac:dyDescent="0.2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</row>
    <row r="149" spans="1:24" x14ac:dyDescent="0.2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</row>
    <row r="150" spans="1:24" x14ac:dyDescent="0.2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</row>
    <row r="151" spans="1:24" x14ac:dyDescent="0.2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</row>
    <row r="152" spans="1:24" x14ac:dyDescent="0.2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</row>
    <row r="153" spans="1:24" x14ac:dyDescent="0.2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</row>
    <row r="154" spans="1:24" x14ac:dyDescent="0.2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</row>
    <row r="155" spans="1:24" x14ac:dyDescent="0.2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</row>
    <row r="156" spans="1:24" x14ac:dyDescent="0.2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</row>
    <row r="157" spans="1:24" x14ac:dyDescent="0.2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</row>
    <row r="158" spans="1:24" x14ac:dyDescent="0.2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</row>
    <row r="159" spans="1:24" x14ac:dyDescent="0.2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</row>
    <row r="160" spans="1:24" x14ac:dyDescent="0.2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</row>
    <row r="161" spans="1:24" x14ac:dyDescent="0.2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</row>
    <row r="162" spans="1:24" x14ac:dyDescent="0.2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</row>
    <row r="163" spans="1:24" x14ac:dyDescent="0.2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</row>
    <row r="164" spans="1:24" x14ac:dyDescent="0.2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</row>
    <row r="165" spans="1:24" x14ac:dyDescent="0.2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</row>
    <row r="166" spans="1:24" x14ac:dyDescent="0.2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</row>
    <row r="167" spans="1:24" x14ac:dyDescent="0.2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</row>
  </sheetData>
  <sheetProtection sheet="1" objects="1" scenarios="1"/>
  <mergeCells count="4">
    <mergeCell ref="A1:O2"/>
    <mergeCell ref="B5:D5"/>
    <mergeCell ref="E5:F5"/>
    <mergeCell ref="G5:H5"/>
  </mergeCells>
  <conditionalFormatting sqref="A8:E8 C11:C12 D16 D24 D34">
    <cfRule type="expression" dxfId="32" priority="1" stopIfTrue="1">
      <formula>IF(OR($E$8="en juego",$E$8="hoy!"),1,0)</formula>
    </cfRule>
  </conditionalFormatting>
  <conditionalFormatting sqref="A12:B12 D12:E12 D20 D30 D38">
    <cfRule type="expression" dxfId="31" priority="2" stopIfTrue="1">
      <formula>IF(OR($E$12="en juego",$E$12="hoy!"),1,0)</formula>
    </cfRule>
  </conditionalFormatting>
  <conditionalFormatting sqref="A16:C16 C20 E16">
    <cfRule type="expression" dxfId="30" priority="3" stopIfTrue="1">
      <formula>IF(OR($E$16="en juego",$E$16="hoy!"),1,0)</formula>
    </cfRule>
  </conditionalFormatting>
  <conditionalFormatting sqref="A20:B20 E20">
    <cfRule type="expression" dxfId="29" priority="4" stopIfTrue="1">
      <formula>IF(OR($E$20="en juego",$E$20="hoy!"),1,0)</formula>
    </cfRule>
  </conditionalFormatting>
  <conditionalFormatting sqref="A24:C24 C30 E24">
    <cfRule type="expression" dxfId="28" priority="5" stopIfTrue="1">
      <formula>IF(OR($E$24="en juego",$E$24="hoy!"),1,0)</formula>
    </cfRule>
  </conditionalFormatting>
  <conditionalFormatting sqref="A30:B30 E30">
    <cfRule type="expression" dxfId="27" priority="6" stopIfTrue="1">
      <formula>IF(OR($E$30="en juego",$E$30="hoy!"),1,0)</formula>
    </cfRule>
  </conditionalFormatting>
  <conditionalFormatting sqref="A34:C34 C38 E34">
    <cfRule type="expression" dxfId="26" priority="7" stopIfTrue="1">
      <formula>IF(OR($E$34="en juego",$E$34="hoy!"),1,0)</formula>
    </cfRule>
  </conditionalFormatting>
  <conditionalFormatting sqref="A38:B38 E38">
    <cfRule type="expression" dxfId="25" priority="8" stopIfTrue="1">
      <formula>IF(OR($E$38="en juego",$E$38="hoy!"),1,0)</formula>
    </cfRule>
  </conditionalFormatting>
  <conditionalFormatting sqref="G7 G9">
    <cfRule type="expression" dxfId="24" priority="9" stopIfTrue="1">
      <formula>IF(AND($F$7=$F$9,$F$7&lt;&gt;"",$F$9&lt;&gt;""),1,0)</formula>
    </cfRule>
  </conditionalFormatting>
  <conditionalFormatting sqref="G11 G13">
    <cfRule type="expression" dxfId="23" priority="10" stopIfTrue="1">
      <formula>IF(AND($F$11=$F$13,$F$11&lt;&gt;"",$F$13&lt;&gt;""),1,0)</formula>
    </cfRule>
  </conditionalFormatting>
  <conditionalFormatting sqref="G15 G17">
    <cfRule type="expression" dxfId="22" priority="11" stopIfTrue="1">
      <formula>IF(AND($F$15=$F$17,$F$15&lt;&gt;"",$F$17&lt;&gt;""),1,0)</formula>
    </cfRule>
  </conditionalFormatting>
  <conditionalFormatting sqref="G19 G21">
    <cfRule type="expression" dxfId="21" priority="12" stopIfTrue="1">
      <formula>IF(AND($F$19=$F$21,$F$19&lt;&gt;"",$F$21&lt;&gt;""),1,0)</formula>
    </cfRule>
  </conditionalFormatting>
  <conditionalFormatting sqref="G23 G25">
    <cfRule type="expression" dxfId="20" priority="13" stopIfTrue="1">
      <formula>IF(AND($F$23=$F$25,$F$23&lt;&gt;"",$F$25&lt;&gt;""),1,0)</formula>
    </cfRule>
  </conditionalFormatting>
  <conditionalFormatting sqref="G29 G31">
    <cfRule type="expression" dxfId="19" priority="14" stopIfTrue="1">
      <formula>IF(AND($F$29=$F$31,$F$29&lt;&gt;"",$F$31&lt;&gt;""),1,0)</formula>
    </cfRule>
  </conditionalFormatting>
  <conditionalFormatting sqref="G33 G35">
    <cfRule type="expression" dxfId="18" priority="15" stopIfTrue="1">
      <formula>IF(AND($F$33=$F$35,$F$33&lt;&gt;"",$F$35&lt;&gt;""),1,0)</formula>
    </cfRule>
  </conditionalFormatting>
  <conditionalFormatting sqref="G37 G39">
    <cfRule type="expression" dxfId="17" priority="16" stopIfTrue="1">
      <formula>IF(AND($F$37=$F$39,$F$37&lt;&gt;"",$F$39&lt;&gt;""),1,0)</formula>
    </cfRule>
  </conditionalFormatting>
  <dataValidations count="2">
    <dataValidation type="whole" allowBlank="1" showErrorMessage="1" errorTitle="Dato no válido" error="Ingrese sólo un número entero_x000a_entre 0 y 99." sqref="F7 F9 F11 F13 F15 F17 F19 F21 F23 F25 F29 F31 F33 F35 F37 F39">
      <formula1>0</formula1>
      <formula2>99</formula2>
    </dataValidation>
    <dataValidation operator="equal" showErrorMessage="1" errorTitle="Dato no válido" error="Debe introducir antes el resultado del partido." sqref="G7 G9 G11 G13 G15 G17 G19 G21 G23 G25 G29 G31 G33 G35 G37 G39">
      <formula1>0</formula1>
      <formula2>0</formula2>
    </dataValidation>
  </dataValidations>
  <hyperlinks>
    <hyperlink ref="O4" location="Portada!A1" display="Menu Principal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showGridLines="0" showRowColHeaders="0" showOutlineSymbols="0" workbookViewId="0"/>
  </sheetViews>
  <sheetFormatPr baseColWidth="10" defaultRowHeight="12.75" x14ac:dyDescent="0.2"/>
  <cols>
    <col min="1" max="1" width="2.140625" style="52" customWidth="1"/>
    <col min="2" max="2" width="14.7109375" style="52" customWidth="1"/>
    <col min="3" max="4" width="6.7109375" style="52" customWidth="1"/>
    <col min="5" max="5" width="15.7109375" style="52" customWidth="1"/>
    <col min="6" max="6" width="3.7109375" style="52" customWidth="1"/>
    <col min="7" max="7" width="2" style="52" customWidth="1"/>
    <col min="8" max="8" width="6.5703125" style="52" customWidth="1"/>
    <col min="9" max="9" width="11.7109375" style="52" customWidth="1"/>
    <col min="10" max="10" width="15.7109375" style="52" customWidth="1"/>
    <col min="11" max="11" width="3.7109375" style="52" customWidth="1"/>
    <col min="12" max="12" width="7.7109375" style="52" customWidth="1"/>
    <col min="13" max="13" width="5.42578125" style="52" customWidth="1"/>
    <col min="14" max="14" width="1.7109375" style="52" customWidth="1"/>
    <col min="15" max="16384" width="11.42578125" style="52"/>
  </cols>
  <sheetData>
    <row r="1" spans="1:21" s="79" customFormat="1" ht="34.5" customHeight="1" x14ac:dyDescent="0.2">
      <c r="A1" s="198" t="s">
        <v>103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77"/>
      <c r="Q1" s="77"/>
      <c r="R1" s="77"/>
      <c r="S1" s="77"/>
      <c r="T1" s="16"/>
      <c r="U1" s="16"/>
    </row>
    <row r="2" spans="1:21" s="79" customFormat="1" ht="34.5" customHeight="1" x14ac:dyDescent="0.2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77"/>
      <c r="Q2" s="77"/>
      <c r="R2" s="77"/>
      <c r="S2" s="77"/>
      <c r="T2" s="16"/>
      <c r="U2" s="16"/>
    </row>
    <row r="3" spans="1:21" ht="15" customHeight="1" x14ac:dyDescent="0.2">
      <c r="A3" s="34"/>
      <c r="B3" s="34"/>
      <c r="C3" s="34"/>
      <c r="D3" s="34"/>
      <c r="E3" s="80"/>
      <c r="F3" s="35"/>
      <c r="G3" s="34"/>
      <c r="H3" s="34"/>
      <c r="I3" s="34"/>
      <c r="J3" s="34"/>
      <c r="K3" s="34"/>
      <c r="L3" s="81"/>
      <c r="M3" s="82"/>
      <c r="N3" s="34"/>
      <c r="O3" s="34"/>
      <c r="P3" s="34"/>
      <c r="Q3" s="34"/>
      <c r="R3" s="34"/>
      <c r="S3" s="34"/>
    </row>
    <row r="4" spans="1:21" ht="12.75" customHeight="1" x14ac:dyDescent="0.25">
      <c r="A4" s="34"/>
      <c r="B4" s="34"/>
      <c r="C4" s="34"/>
      <c r="D4" s="34"/>
      <c r="E4" s="83"/>
      <c r="F4" s="82"/>
      <c r="G4" s="34"/>
      <c r="H4" s="34"/>
      <c r="I4" s="34"/>
      <c r="J4" s="34"/>
      <c r="K4" s="34"/>
      <c r="L4" s="84">
        <f ca="1">TODAY()</f>
        <v>42230</v>
      </c>
      <c r="M4" s="85">
        <f ca="1">NOW()</f>
        <v>42230.789250000002</v>
      </c>
      <c r="N4" s="34"/>
      <c r="O4" s="86" t="s">
        <v>18</v>
      </c>
      <c r="P4" s="34"/>
      <c r="Q4" s="34"/>
      <c r="R4" s="34"/>
      <c r="S4" s="34"/>
    </row>
    <row r="5" spans="1:21" ht="12" customHeight="1" x14ac:dyDescent="0.25">
      <c r="A5" s="34"/>
      <c r="B5" s="199" t="s">
        <v>93</v>
      </c>
      <c r="C5" s="199"/>
      <c r="D5" s="199"/>
      <c r="E5" s="199" t="s">
        <v>94</v>
      </c>
      <c r="F5" s="199"/>
      <c r="G5" s="200" t="s">
        <v>95</v>
      </c>
      <c r="H5" s="200"/>
      <c r="I5" s="88"/>
      <c r="J5" s="87" t="s">
        <v>104</v>
      </c>
      <c r="K5" s="34"/>
      <c r="L5" s="89"/>
      <c r="M5" s="34"/>
      <c r="N5" s="34"/>
      <c r="O5" s="34"/>
      <c r="P5" s="34"/>
      <c r="Q5" s="34"/>
      <c r="R5" s="34"/>
      <c r="S5" s="34"/>
    </row>
    <row r="6" spans="1:21" ht="12" customHeight="1" x14ac:dyDescent="0.2">
      <c r="A6" s="112"/>
      <c r="B6" s="113"/>
      <c r="C6" s="113"/>
      <c r="D6" s="113"/>
      <c r="E6" s="91"/>
      <c r="F6" s="91"/>
      <c r="G6" s="91"/>
      <c r="H6" s="91"/>
      <c r="I6" s="91"/>
      <c r="J6" s="91"/>
      <c r="K6" s="34"/>
      <c r="L6" s="34"/>
      <c r="M6" s="34"/>
      <c r="N6" s="34"/>
      <c r="O6" s="34"/>
      <c r="P6" s="34"/>
      <c r="Q6" s="34"/>
      <c r="R6" s="34"/>
      <c r="S6" s="34"/>
    </row>
    <row r="7" spans="1:21" ht="14.25" customHeight="1" x14ac:dyDescent="0.2">
      <c r="A7" s="112"/>
      <c r="B7" s="113"/>
      <c r="C7" s="113"/>
      <c r="D7" s="113"/>
      <c r="E7" s="114" t="str">
        <f>'Octavos de Final'!J8</f>
        <v>OF1</v>
      </c>
      <c r="F7" s="115"/>
      <c r="G7" s="116"/>
      <c r="H7" s="95"/>
      <c r="I7" s="91"/>
      <c r="J7" s="91"/>
      <c r="K7" s="34"/>
      <c r="L7" s="34"/>
      <c r="M7" s="34"/>
      <c r="N7" s="34"/>
      <c r="O7" s="34"/>
      <c r="P7" s="34"/>
      <c r="Q7" s="34"/>
      <c r="R7" s="34"/>
      <c r="S7" s="34"/>
    </row>
    <row r="8" spans="1:21" ht="14.25" customHeight="1" x14ac:dyDescent="0.2">
      <c r="A8" s="117" t="str">
        <f ca="1">IF(OR(E8="en juego",E8="hoy!",E8="finalizado"),"  -&gt;     A","A")</f>
        <v>A</v>
      </c>
      <c r="B8" s="118" t="s">
        <v>77</v>
      </c>
      <c r="C8" s="119">
        <v>38898</v>
      </c>
      <c r="D8" s="120">
        <v>0.5</v>
      </c>
      <c r="E8" s="121" t="str">
        <f ca="1">IF(OR(C8="",D8="",C8&lt;$L$4),"",IF(C8=$L$4,IF(AND(D8&lt;=$S$24,$S$24&lt;=(D8+0.08333333333)),"en juego",IF($S$24&lt;D8,"hoy!","finalizado")),IF($L$4&gt;C8,"finalizado","")))</f>
        <v/>
      </c>
      <c r="F8" s="122"/>
      <c r="G8" s="102"/>
      <c r="H8" s="103"/>
      <c r="I8" s="104"/>
      <c r="J8" s="123" t="str">
        <f>IF(OR(F7="",F9="",AND(F7=F9,OR(G7="",G9=""))),"CF1",IF(F7=F9,IF(G7&gt;G9,E7,E9),IF(F7&gt;F9,E7,E9)))</f>
        <v>CF1</v>
      </c>
      <c r="K8" s="34"/>
      <c r="L8" s="34"/>
      <c r="M8" s="34"/>
      <c r="N8" s="34"/>
      <c r="O8" s="34"/>
      <c r="P8" s="34"/>
      <c r="Q8" s="34"/>
      <c r="R8" s="34"/>
      <c r="S8" s="34"/>
    </row>
    <row r="9" spans="1:21" ht="14.25" customHeight="1" x14ac:dyDescent="0.2">
      <c r="A9" s="112"/>
      <c r="B9" s="124"/>
      <c r="C9" s="113"/>
      <c r="D9" s="113"/>
      <c r="E9" s="114" t="str">
        <f>'Octavos de Final'!J16</f>
        <v>OF3</v>
      </c>
      <c r="F9" s="115"/>
      <c r="G9" s="125"/>
      <c r="H9" s="108"/>
      <c r="I9" s="91"/>
      <c r="J9" s="91"/>
      <c r="K9" s="34"/>
      <c r="L9" s="34"/>
      <c r="M9" s="34"/>
      <c r="N9" s="34"/>
      <c r="O9" s="34"/>
      <c r="P9" s="34"/>
      <c r="Q9" s="34"/>
      <c r="R9" s="34"/>
      <c r="S9" s="34"/>
    </row>
    <row r="10" spans="1:21" ht="15" customHeight="1" x14ac:dyDescent="0.2">
      <c r="A10" s="112"/>
      <c r="B10" s="124"/>
      <c r="C10" s="113"/>
      <c r="D10" s="113"/>
      <c r="E10" s="126"/>
      <c r="F10" s="122"/>
      <c r="G10" s="91"/>
      <c r="H10" s="91"/>
      <c r="I10" s="91"/>
      <c r="J10" s="91"/>
      <c r="K10" s="34"/>
      <c r="L10" s="34"/>
      <c r="M10" s="34"/>
      <c r="N10" s="34"/>
      <c r="O10" s="34"/>
      <c r="P10" s="34"/>
      <c r="Q10" s="34"/>
      <c r="R10" s="34"/>
      <c r="S10" s="34"/>
    </row>
    <row r="11" spans="1:21" ht="14.25" customHeight="1" x14ac:dyDescent="0.2">
      <c r="A11" s="112"/>
      <c r="B11" s="124"/>
      <c r="C11" s="113"/>
      <c r="D11" s="113"/>
      <c r="E11" s="114" t="str">
        <f>'Octavos de Final'!J24</f>
        <v>OF5</v>
      </c>
      <c r="F11" s="115"/>
      <c r="G11" s="116"/>
      <c r="H11" s="95"/>
      <c r="I11" s="91"/>
      <c r="J11" s="91"/>
      <c r="K11" s="34"/>
      <c r="L11" s="34"/>
      <c r="M11" s="34"/>
      <c r="N11" s="34"/>
      <c r="O11" s="34"/>
      <c r="P11" s="34"/>
      <c r="Q11" s="34"/>
      <c r="R11" s="34"/>
      <c r="S11" s="34"/>
    </row>
    <row r="12" spans="1:21" ht="14.25" customHeight="1" x14ac:dyDescent="0.2">
      <c r="A12" s="117" t="str">
        <f ca="1">IF(OR(E12="en juego",E12="hoy!",E12="finalizado"),"  -&gt;     B","B")</f>
        <v>B</v>
      </c>
      <c r="B12" s="118" t="s">
        <v>32</v>
      </c>
      <c r="C12" s="119">
        <v>38898</v>
      </c>
      <c r="D12" s="120">
        <v>0.66666666666666663</v>
      </c>
      <c r="E12" s="121" t="str">
        <f ca="1">IF(OR(C12="",D12="",C12&lt;$L$4),"",IF(C12=$L$4,IF(AND(D12&lt;=$S$24,$S$24&lt;=(D12+0.08333333333)),"en juego",IF($S$24&lt;D12,"hoy!","finalizado")),IF($L$4&gt;C12,"finalizado","")))</f>
        <v/>
      </c>
      <c r="F12" s="122"/>
      <c r="G12" s="102"/>
      <c r="H12" s="103"/>
      <c r="I12" s="104"/>
      <c r="J12" s="123" t="str">
        <f>IF(OR(F11="",F13="",AND(F11=F13,OR(G11="",G13=""))),"CF2",IF(F11=F13,IF(G11&gt;G13,E11,E13),IF(F11&gt;F13,E11,E13)))</f>
        <v>CF2</v>
      </c>
      <c r="K12" s="34"/>
      <c r="L12" s="34"/>
      <c r="M12" s="34"/>
      <c r="N12" s="34"/>
      <c r="O12" s="34"/>
      <c r="P12" s="34"/>
      <c r="Q12" s="34"/>
      <c r="R12" s="34"/>
      <c r="S12" s="34"/>
    </row>
    <row r="13" spans="1:21" ht="14.25" customHeight="1" x14ac:dyDescent="0.2">
      <c r="A13" s="112"/>
      <c r="B13" s="124"/>
      <c r="C13" s="113"/>
      <c r="D13" s="113"/>
      <c r="E13" s="114" t="str">
        <f>'Octavos de Final'!J34</f>
        <v>OF7</v>
      </c>
      <c r="F13" s="115"/>
      <c r="G13" s="125"/>
      <c r="H13" s="108"/>
      <c r="I13" s="91"/>
      <c r="J13" s="91"/>
      <c r="K13" s="34"/>
      <c r="L13" s="34"/>
      <c r="M13" s="34"/>
      <c r="N13" s="34"/>
      <c r="O13" s="34"/>
      <c r="P13" s="34"/>
      <c r="Q13" s="34"/>
      <c r="R13" s="34"/>
      <c r="S13" s="34"/>
    </row>
    <row r="14" spans="1:21" ht="15" customHeight="1" x14ac:dyDescent="0.2">
      <c r="A14" s="112"/>
      <c r="B14" s="124"/>
      <c r="C14" s="113"/>
      <c r="D14" s="113"/>
      <c r="E14" s="126"/>
      <c r="F14" s="122"/>
      <c r="G14" s="91"/>
      <c r="H14" s="91"/>
      <c r="I14" s="91"/>
      <c r="J14" s="91"/>
      <c r="K14" s="34"/>
      <c r="L14" s="34"/>
      <c r="M14" s="34"/>
      <c r="N14" s="34"/>
      <c r="O14" s="34"/>
      <c r="P14" s="34"/>
      <c r="Q14" s="34"/>
      <c r="R14" s="34"/>
      <c r="S14" s="34"/>
    </row>
    <row r="15" spans="1:21" ht="14.25" customHeight="1" x14ac:dyDescent="0.2">
      <c r="A15" s="112"/>
      <c r="B15" s="124"/>
      <c r="C15" s="113"/>
      <c r="D15" s="113"/>
      <c r="E15" s="114" t="str">
        <f>'Octavos de Final'!J12</f>
        <v>OF2</v>
      </c>
      <c r="F15" s="115"/>
      <c r="G15" s="116"/>
      <c r="H15" s="95"/>
      <c r="I15" s="91"/>
      <c r="J15" s="91"/>
      <c r="K15" s="34"/>
      <c r="L15" s="34"/>
      <c r="M15" s="34"/>
      <c r="N15" s="34"/>
      <c r="O15" s="34"/>
      <c r="P15" s="34"/>
      <c r="Q15" s="34"/>
      <c r="R15" s="34"/>
      <c r="S15" s="34"/>
    </row>
    <row r="16" spans="1:21" ht="14.25" customHeight="1" x14ac:dyDescent="0.2">
      <c r="A16" s="117" t="str">
        <f ca="1">IF(OR(E16="en juego",E16="hoy!",E16="finalizado"),"  -&gt;     C","C")</f>
        <v>C</v>
      </c>
      <c r="B16" s="118" t="s">
        <v>29</v>
      </c>
      <c r="C16" s="119">
        <v>38899</v>
      </c>
      <c r="D16" s="120">
        <v>0.5</v>
      </c>
      <c r="E16" s="121" t="str">
        <f ca="1">IF(OR(C16="",D16="",C16&lt;$L$4),"",IF(C16=$L$4,IF(AND(D16&lt;=$S$24,$S$24&lt;=(D16+0.08333333333)),"en juego",IF($S$24&lt;D16,"hoy!","finalizado")),IF($L$4&gt;C16,"finalizado","")))</f>
        <v/>
      </c>
      <c r="F16" s="122"/>
      <c r="G16" s="102"/>
      <c r="H16" s="103"/>
      <c r="I16" s="104"/>
      <c r="J16" s="123" t="str">
        <f>IF(OR(F15="",F17="",AND(F15=F17,OR(G15="",G17=""))),"CF3",IF(F15=F17,IF(G15&gt;G17,E15,E17),IF(F15&gt;F17,E15,E17)))</f>
        <v>CF3</v>
      </c>
      <c r="K16" s="34"/>
      <c r="L16" s="34"/>
      <c r="M16" s="34"/>
      <c r="N16" s="34"/>
      <c r="O16" s="34"/>
      <c r="P16" s="34"/>
      <c r="Q16" s="34"/>
      <c r="R16" s="34"/>
      <c r="S16" s="34"/>
    </row>
    <row r="17" spans="1:19" ht="14.25" customHeight="1" x14ac:dyDescent="0.2">
      <c r="A17" s="112"/>
      <c r="B17" s="124"/>
      <c r="C17" s="113"/>
      <c r="D17" s="113"/>
      <c r="E17" s="114" t="str">
        <f>'Octavos de Final'!J20</f>
        <v>OF4</v>
      </c>
      <c r="F17" s="115"/>
      <c r="G17" s="125"/>
      <c r="H17" s="108"/>
      <c r="I17" s="91"/>
      <c r="J17" s="91"/>
      <c r="K17" s="34"/>
      <c r="L17" s="34"/>
      <c r="M17" s="34"/>
      <c r="N17" s="34"/>
      <c r="O17" s="34"/>
      <c r="P17" s="34"/>
      <c r="Q17" s="34"/>
      <c r="R17" s="34"/>
      <c r="S17" s="34"/>
    </row>
    <row r="18" spans="1:19" ht="15" customHeight="1" x14ac:dyDescent="0.2">
      <c r="A18" s="112"/>
      <c r="B18" s="124"/>
      <c r="C18" s="113"/>
      <c r="D18" s="113"/>
      <c r="E18" s="126"/>
      <c r="F18" s="122"/>
      <c r="G18" s="91"/>
      <c r="H18" s="91"/>
      <c r="I18" s="91"/>
      <c r="J18" s="91"/>
      <c r="K18" s="34"/>
      <c r="L18" s="34"/>
      <c r="M18" s="34"/>
      <c r="N18" s="34"/>
      <c r="O18" s="34"/>
      <c r="P18" s="34"/>
      <c r="Q18" s="34"/>
      <c r="R18" s="34"/>
      <c r="S18" s="34"/>
    </row>
    <row r="19" spans="1:19" ht="14.25" customHeight="1" x14ac:dyDescent="0.2">
      <c r="A19" s="112"/>
      <c r="B19" s="124"/>
      <c r="C19" s="113"/>
      <c r="D19" s="113"/>
      <c r="E19" s="114" t="str">
        <f>'Octavos de Final'!J30</f>
        <v>OF6</v>
      </c>
      <c r="F19" s="115"/>
      <c r="G19" s="116"/>
      <c r="H19" s="95"/>
      <c r="I19" s="91"/>
      <c r="J19" s="91"/>
      <c r="K19" s="34"/>
      <c r="L19" s="34"/>
      <c r="M19" s="34"/>
      <c r="N19" s="34"/>
      <c r="O19" s="34"/>
      <c r="P19" s="34"/>
      <c r="Q19" s="34"/>
      <c r="R19" s="34"/>
      <c r="S19" s="34"/>
    </row>
    <row r="20" spans="1:19" ht="14.25" customHeight="1" x14ac:dyDescent="0.2">
      <c r="A20" s="117" t="str">
        <f ca="1">IF(OR(E20="en juego",E20="hoy!",E20="finalizado"),"  -&gt;     D","D")</f>
        <v>D</v>
      </c>
      <c r="B20" s="118" t="s">
        <v>50</v>
      </c>
      <c r="C20" s="119">
        <v>38899</v>
      </c>
      <c r="D20" s="120">
        <v>0.66666666666666663</v>
      </c>
      <c r="E20" s="121" t="str">
        <f ca="1">IF(OR(C20="",D20="",C20&lt;$L$4),"",IF(C20=$L$4,IF(AND(D20&lt;=$S$24,$S$24&lt;=(D20+0.08333333333)),"en juego",IF($S$24&lt;D20,"hoy!","finalizado")),IF($L$4&gt;C20,"finalizado","")))</f>
        <v/>
      </c>
      <c r="F20" s="122"/>
      <c r="G20" s="102"/>
      <c r="H20" s="103"/>
      <c r="I20" s="104"/>
      <c r="J20" s="123" t="str">
        <f>IF(OR(F19="",F21="",AND(F19=F21,OR(G19="",G21=""))),"CF4",IF(F19=F21,IF(G19&gt;G21,E19,E21),IF(F19&gt;F21,E19,E21)))</f>
        <v>CF4</v>
      </c>
      <c r="K20" s="34"/>
      <c r="L20" s="34"/>
      <c r="M20" s="34"/>
      <c r="N20" s="34"/>
      <c r="O20" s="34"/>
      <c r="P20" s="34"/>
      <c r="Q20" s="34"/>
      <c r="R20" s="34"/>
      <c r="S20" s="34"/>
    </row>
    <row r="21" spans="1:19" ht="14.25" customHeight="1" x14ac:dyDescent="0.2">
      <c r="A21" s="112"/>
      <c r="B21" s="113"/>
      <c r="C21" s="113"/>
      <c r="D21" s="113"/>
      <c r="E21" s="114" t="str">
        <f>'Octavos de Final'!J38</f>
        <v>OF8</v>
      </c>
      <c r="F21" s="115"/>
      <c r="G21" s="125"/>
      <c r="H21" s="108"/>
      <c r="I21" s="91"/>
      <c r="J21" s="91"/>
      <c r="K21" s="34"/>
      <c r="L21" s="34"/>
      <c r="M21" s="34"/>
      <c r="N21" s="34"/>
      <c r="O21" s="34"/>
      <c r="P21" s="34"/>
      <c r="Q21" s="34"/>
      <c r="R21" s="34"/>
      <c r="S21" s="34"/>
    </row>
    <row r="22" spans="1:19" ht="15" customHeight="1" x14ac:dyDescent="0.2">
      <c r="A22" s="112"/>
      <c r="B22" s="113"/>
      <c r="C22" s="113"/>
      <c r="D22" s="113"/>
      <c r="E22" s="91"/>
      <c r="F22" s="91"/>
      <c r="G22" s="91"/>
      <c r="H22" s="91"/>
      <c r="I22" s="91"/>
      <c r="J22" s="91"/>
      <c r="K22" s="34"/>
      <c r="L22" s="34"/>
      <c r="M22" s="34"/>
      <c r="N22" s="34"/>
      <c r="O22" s="34"/>
      <c r="P22" s="34"/>
      <c r="Q22" s="34"/>
      <c r="R22" s="34"/>
      <c r="S22" s="34"/>
    </row>
    <row r="23" spans="1:19" hidden="1" x14ac:dyDescent="0.2">
      <c r="A23" s="90"/>
      <c r="B23" s="91"/>
      <c r="C23" s="91"/>
      <c r="D23" s="91"/>
      <c r="E23" s="91"/>
      <c r="F23" s="91"/>
      <c r="G23" s="91"/>
      <c r="H23" s="91"/>
      <c r="I23" s="91"/>
      <c r="J23" s="91"/>
      <c r="K23" s="34"/>
      <c r="L23" s="34"/>
      <c r="M23" s="34"/>
      <c r="N23" s="34"/>
      <c r="O23" s="34"/>
      <c r="P23" s="34"/>
      <c r="Q23" s="34"/>
      <c r="R23" s="109">
        <f ca="1">HOUR(M4)</f>
        <v>18</v>
      </c>
      <c r="S23" s="109">
        <f ca="1">MINUTE(M4)</f>
        <v>56</v>
      </c>
    </row>
    <row r="24" spans="1:19" hidden="1" x14ac:dyDescent="0.2">
      <c r="A24" s="90"/>
      <c r="B24" s="91"/>
      <c r="C24" s="91"/>
      <c r="D24" s="91"/>
      <c r="E24" s="91"/>
      <c r="F24" s="91"/>
      <c r="G24" s="91"/>
      <c r="H24" s="91"/>
      <c r="I24" s="91"/>
      <c r="J24" s="91"/>
      <c r="K24" s="34"/>
      <c r="L24" s="34"/>
      <c r="M24" s="34"/>
      <c r="N24" s="34"/>
      <c r="O24" s="34"/>
      <c r="P24" s="34"/>
      <c r="Q24" s="34"/>
      <c r="R24" s="109"/>
      <c r="S24" s="110">
        <f ca="1">TIME(R23,S23,0)</f>
        <v>0.78888888888888886</v>
      </c>
    </row>
    <row r="25" spans="1:19" ht="15" customHeight="1" x14ac:dyDescent="0.2">
      <c r="A25" s="111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1:19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</row>
    <row r="27" spans="1:19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</row>
    <row r="28" spans="1:19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</row>
    <row r="29" spans="1:19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</row>
    <row r="30" spans="1:19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</row>
    <row r="31" spans="1:19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</row>
    <row r="32" spans="1:19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</row>
    <row r="34" spans="1:19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</row>
    <row r="35" spans="1:19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</row>
    <row r="36" spans="1:19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</row>
    <row r="37" spans="1:19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</row>
    <row r="38" spans="1:19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</row>
    <row r="39" spans="1:19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</row>
    <row r="40" spans="1:19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</row>
    <row r="41" spans="1:19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</row>
    <row r="42" spans="1:19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</row>
    <row r="43" spans="1:19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</row>
    <row r="44" spans="1:19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</row>
    <row r="45" spans="1:19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</row>
    <row r="46" spans="1:19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</row>
    <row r="47" spans="1:19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</row>
    <row r="48" spans="1:19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</row>
    <row r="49" spans="1:19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</row>
    <row r="50" spans="1:19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</row>
    <row r="51" spans="1:19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</row>
    <row r="52" spans="1:19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</row>
    <row r="53" spans="1:19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</row>
    <row r="54" spans="1:19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</row>
    <row r="55" spans="1:19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</row>
    <row r="56" spans="1:19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</row>
    <row r="57" spans="1:19" x14ac:dyDescent="0.2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</row>
    <row r="58" spans="1:19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</row>
    <row r="59" spans="1:19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</row>
    <row r="60" spans="1:19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</row>
    <row r="61" spans="1:19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</row>
    <row r="62" spans="1:19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</row>
    <row r="63" spans="1:19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</row>
    <row r="64" spans="1:19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</row>
    <row r="65" spans="1:19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</row>
    <row r="66" spans="1:19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</row>
    <row r="67" spans="1:19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</row>
    <row r="68" spans="1:19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</row>
    <row r="69" spans="1:19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</row>
    <row r="70" spans="1:19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</row>
    <row r="71" spans="1:19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</row>
    <row r="72" spans="1:19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</row>
    <row r="73" spans="1:19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</row>
    <row r="74" spans="1:19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</row>
    <row r="75" spans="1:19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</row>
    <row r="76" spans="1:19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</row>
    <row r="77" spans="1:19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</row>
    <row r="78" spans="1:19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</row>
    <row r="79" spans="1:19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</row>
    <row r="80" spans="1:19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</row>
    <row r="81" spans="1:19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</row>
    <row r="82" spans="1:19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</row>
    <row r="83" spans="1:19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</row>
    <row r="84" spans="1:19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</row>
    <row r="85" spans="1:19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</row>
    <row r="86" spans="1:19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</row>
    <row r="87" spans="1:19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</row>
    <row r="88" spans="1:19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</row>
    <row r="89" spans="1:19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</row>
    <row r="90" spans="1:19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</row>
    <row r="91" spans="1:19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</row>
    <row r="92" spans="1:19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</row>
    <row r="93" spans="1:19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</row>
    <row r="94" spans="1:19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</row>
    <row r="95" spans="1:19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</row>
    <row r="96" spans="1:19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</row>
    <row r="97" spans="1:19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</row>
    <row r="98" spans="1:19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</row>
    <row r="99" spans="1:19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</row>
    <row r="100" spans="1:19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</row>
    <row r="101" spans="1:19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</row>
    <row r="102" spans="1:19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</row>
    <row r="103" spans="1:19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</row>
    <row r="104" spans="1:19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</row>
    <row r="105" spans="1:19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</row>
    <row r="106" spans="1:19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</row>
    <row r="107" spans="1:19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</row>
    <row r="108" spans="1:19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</row>
    <row r="109" spans="1:19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</row>
    <row r="110" spans="1:19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</row>
    <row r="111" spans="1:19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</row>
    <row r="112" spans="1:19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</row>
    <row r="113" spans="1:19" x14ac:dyDescent="0.2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</row>
    <row r="114" spans="1:19" x14ac:dyDescent="0.2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</row>
    <row r="115" spans="1:19" x14ac:dyDescent="0.2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</row>
    <row r="116" spans="1:19" x14ac:dyDescent="0.2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</row>
    <row r="117" spans="1:19" x14ac:dyDescent="0.2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</row>
    <row r="118" spans="1:19" x14ac:dyDescent="0.2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</row>
    <row r="119" spans="1:19" x14ac:dyDescent="0.2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</row>
    <row r="120" spans="1:19" x14ac:dyDescent="0.2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</row>
    <row r="121" spans="1:19" x14ac:dyDescent="0.2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</row>
    <row r="122" spans="1:19" x14ac:dyDescent="0.2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</row>
    <row r="123" spans="1:19" x14ac:dyDescent="0.2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</row>
    <row r="124" spans="1:19" x14ac:dyDescent="0.2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</row>
    <row r="125" spans="1:19" x14ac:dyDescent="0.2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</row>
    <row r="126" spans="1:19" x14ac:dyDescent="0.2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</row>
    <row r="127" spans="1:19" x14ac:dyDescent="0.2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</row>
    <row r="128" spans="1:19" x14ac:dyDescent="0.2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</row>
    <row r="129" spans="1:19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</row>
    <row r="130" spans="1:19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</row>
    <row r="131" spans="1:19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</row>
    <row r="132" spans="1:19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</row>
    <row r="133" spans="1:19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</row>
    <row r="134" spans="1:19" x14ac:dyDescent="0.2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</row>
    <row r="135" spans="1:19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</row>
    <row r="136" spans="1:19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</row>
    <row r="137" spans="1:19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</row>
    <row r="138" spans="1:19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</row>
    <row r="139" spans="1:19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</row>
    <row r="140" spans="1:19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</row>
    <row r="141" spans="1:19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</row>
    <row r="142" spans="1:19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</row>
    <row r="143" spans="1:19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</row>
    <row r="144" spans="1:19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</row>
    <row r="145" spans="1:19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</row>
    <row r="146" spans="1:19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</row>
    <row r="147" spans="1:19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</row>
    <row r="148" spans="1:19" x14ac:dyDescent="0.2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</row>
    <row r="149" spans="1:19" x14ac:dyDescent="0.2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</row>
    <row r="150" spans="1:19" x14ac:dyDescent="0.2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</row>
    <row r="151" spans="1:19" x14ac:dyDescent="0.2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</row>
    <row r="152" spans="1:19" x14ac:dyDescent="0.2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</row>
  </sheetData>
  <sheetProtection sheet="1" objects="1" scenarios="1"/>
  <mergeCells count="4">
    <mergeCell ref="A1:O2"/>
    <mergeCell ref="B5:D5"/>
    <mergeCell ref="E5:F5"/>
    <mergeCell ref="G5:H5"/>
  </mergeCells>
  <conditionalFormatting sqref="A8:E8 C12 D16">
    <cfRule type="expression" dxfId="16" priority="1" stopIfTrue="1">
      <formula>IF(OR($E$8="en juego",$E$8="hoy!"),1,0)</formula>
    </cfRule>
  </conditionalFormatting>
  <conditionalFormatting sqref="A12:B12 D12:E12 D20">
    <cfRule type="expression" dxfId="15" priority="2" stopIfTrue="1">
      <formula>IF(OR($E$12="en juego",$E$12="hoy!"),1,0)</formula>
    </cfRule>
  </conditionalFormatting>
  <conditionalFormatting sqref="A16:C16 C20 E16">
    <cfRule type="expression" dxfId="14" priority="3" stopIfTrue="1">
      <formula>IF(OR($E$16="en juego",$E$16="hoy!"),1,0)</formula>
    </cfRule>
  </conditionalFormatting>
  <conditionalFormatting sqref="A20:B20 E20">
    <cfRule type="expression" dxfId="13" priority="4" stopIfTrue="1">
      <formula>IF(OR($E$20="en juego",$E$20="hoy!"),1,0)</formula>
    </cfRule>
  </conditionalFormatting>
  <conditionalFormatting sqref="G7 G9">
    <cfRule type="expression" dxfId="12" priority="5" stopIfTrue="1">
      <formula>IF(AND($F$7=$F$9,$F$7&lt;&gt;"",$F$9&lt;&gt;""),1,0)</formula>
    </cfRule>
  </conditionalFormatting>
  <conditionalFormatting sqref="G11 G13">
    <cfRule type="expression" dxfId="11" priority="6" stopIfTrue="1">
      <formula>IF(AND($F$11=$F$13,$F$11&lt;&gt;"",$F$13&lt;&gt;""),1,0)</formula>
    </cfRule>
  </conditionalFormatting>
  <conditionalFormatting sqref="G15 G17">
    <cfRule type="expression" dxfId="10" priority="7" stopIfTrue="1">
      <formula>IF(AND($F$15=$F$17,$F$15&lt;&gt;"",$F$17&lt;&gt;""),1,0)</formula>
    </cfRule>
  </conditionalFormatting>
  <conditionalFormatting sqref="G19 G21">
    <cfRule type="expression" dxfId="9" priority="8" stopIfTrue="1">
      <formula>IF(AND($F$19=$F$21,$F$19&lt;&gt;"",$F$21&lt;&gt;""),1,0)</formula>
    </cfRule>
  </conditionalFormatting>
  <dataValidations count="3">
    <dataValidation type="whole" allowBlank="1" showErrorMessage="1" errorTitle="Dato no válido" error="Ingrese sólo un número entero_x000a_entre 0 y 99." sqref="F9 F13 F17 F21">
      <formula1>0</formula1>
      <formula2>99</formula2>
    </dataValidation>
    <dataValidation operator="equal" showErrorMessage="1" errorTitle="Dato no válido" error="Debe introducir antes el resultado del partido." sqref="G7 G9 G11 G13 G15 G17 G19 G21">
      <formula1>0</formula1>
      <formula2>0</formula2>
    </dataValidation>
    <dataValidation type="whole" allowBlank="1" showErrorMessage="1" errorTitle="Dato no válido." error="Ingrese sólo un número entero_x000a_entre 0 y 99." sqref="F7 F11 F15 F19">
      <formula1>0</formula1>
      <formula2>99</formula2>
    </dataValidation>
  </dataValidations>
  <hyperlinks>
    <hyperlink ref="O4" location="Portada!A1" display="Menu Principal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showGridLines="0" showRowColHeaders="0" showOutlineSymbols="0" workbookViewId="0"/>
  </sheetViews>
  <sheetFormatPr baseColWidth="10" defaultRowHeight="12.75" x14ac:dyDescent="0.2"/>
  <cols>
    <col min="1" max="1" width="2" style="52" customWidth="1"/>
    <col min="2" max="2" width="14.7109375" style="52" customWidth="1"/>
    <col min="3" max="4" width="6.7109375" style="52" customWidth="1"/>
    <col min="5" max="5" width="16.7109375" style="52" customWidth="1"/>
    <col min="6" max="6" width="3.7109375" style="52" customWidth="1"/>
    <col min="7" max="7" width="2" style="52" customWidth="1"/>
    <col min="8" max="8" width="6.5703125" style="52" customWidth="1"/>
    <col min="9" max="9" width="11.7109375" style="52" customWidth="1"/>
    <col min="10" max="10" width="16.7109375" style="52" customWidth="1"/>
    <col min="11" max="11" width="2.7109375" style="52" customWidth="1"/>
    <col min="12" max="12" width="7.7109375" style="52" customWidth="1"/>
    <col min="13" max="13" width="5.42578125" style="52" customWidth="1"/>
    <col min="14" max="14" width="1.7109375" style="52" customWidth="1"/>
    <col min="15" max="16384" width="11.42578125" style="52"/>
  </cols>
  <sheetData>
    <row r="1" spans="1:21" s="79" customFormat="1" ht="34.5" customHeight="1" x14ac:dyDescent="0.2">
      <c r="A1" s="198" t="s">
        <v>105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77"/>
      <c r="Q1" s="77"/>
      <c r="R1" s="16"/>
      <c r="S1" s="16"/>
      <c r="T1" s="16"/>
      <c r="U1" s="16"/>
    </row>
    <row r="2" spans="1:21" s="79" customFormat="1" ht="34.5" customHeight="1" x14ac:dyDescent="0.2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77"/>
      <c r="Q2" s="77"/>
      <c r="R2" s="16"/>
      <c r="S2" s="16"/>
      <c r="T2" s="16"/>
      <c r="U2" s="16"/>
    </row>
    <row r="3" spans="1:21" ht="20.100000000000001" customHeight="1" x14ac:dyDescent="0.2">
      <c r="A3" s="34"/>
      <c r="B3" s="34"/>
      <c r="C3" s="34"/>
      <c r="D3" s="34"/>
      <c r="E3" s="80"/>
      <c r="F3" s="35"/>
      <c r="G3" s="34"/>
      <c r="H3" s="34"/>
      <c r="I3" s="34"/>
      <c r="J3" s="34"/>
      <c r="K3" s="34"/>
      <c r="L3" s="81"/>
      <c r="M3" s="82"/>
      <c r="N3" s="34"/>
      <c r="O3" s="34"/>
      <c r="P3" s="34"/>
      <c r="Q3" s="34"/>
    </row>
    <row r="4" spans="1:21" ht="15" customHeight="1" x14ac:dyDescent="0.2">
      <c r="A4" s="34"/>
      <c r="B4" s="34"/>
      <c r="C4" s="34"/>
      <c r="D4" s="34"/>
      <c r="E4" s="83"/>
      <c r="F4" s="82"/>
      <c r="G4" s="34"/>
      <c r="H4" s="34"/>
      <c r="I4" s="34"/>
      <c r="J4" s="34"/>
      <c r="K4" s="34"/>
      <c r="L4" s="127">
        <f ca="1">TODAY()</f>
        <v>42230</v>
      </c>
      <c r="M4" s="128">
        <f ca="1">NOW()</f>
        <v>42230.789250000002</v>
      </c>
      <c r="N4" s="34"/>
      <c r="O4" s="86" t="s">
        <v>18</v>
      </c>
      <c r="P4" s="34"/>
      <c r="Q4" s="34"/>
    </row>
    <row r="5" spans="1:21" ht="12" customHeight="1" x14ac:dyDescent="0.25">
      <c r="A5" s="34"/>
      <c r="B5" s="199" t="s">
        <v>93</v>
      </c>
      <c r="C5" s="199"/>
      <c r="D5" s="199"/>
      <c r="E5" s="199" t="s">
        <v>94</v>
      </c>
      <c r="F5" s="199"/>
      <c r="G5" s="200" t="s">
        <v>95</v>
      </c>
      <c r="H5" s="200"/>
      <c r="I5" s="88"/>
      <c r="J5" s="87" t="s">
        <v>106</v>
      </c>
      <c r="K5" s="34"/>
      <c r="L5" s="129"/>
      <c r="M5" s="34"/>
      <c r="N5" s="34"/>
      <c r="O5" s="34"/>
      <c r="P5" s="34"/>
      <c r="Q5" s="34"/>
    </row>
    <row r="6" spans="1:21" ht="32.1" customHeight="1" x14ac:dyDescent="0.2">
      <c r="A6" s="112"/>
      <c r="B6" s="113"/>
      <c r="C6" s="113"/>
      <c r="D6" s="113"/>
      <c r="E6" s="91"/>
      <c r="F6" s="91"/>
      <c r="G6" s="91"/>
      <c r="H6" s="91"/>
      <c r="I6" s="91"/>
      <c r="J6" s="91"/>
      <c r="K6" s="34"/>
      <c r="L6" s="34"/>
      <c r="M6" s="34"/>
      <c r="N6" s="34"/>
      <c r="O6" s="34"/>
      <c r="P6" s="34"/>
      <c r="Q6" s="34"/>
    </row>
    <row r="7" spans="1:21" ht="15" customHeight="1" x14ac:dyDescent="0.2">
      <c r="A7" s="112"/>
      <c r="B7" s="113"/>
      <c r="C7" s="113"/>
      <c r="D7" s="113"/>
      <c r="E7" s="130" t="str">
        <f>'Cuartos de Final'!J8</f>
        <v>CF1</v>
      </c>
      <c r="F7" s="131"/>
      <c r="G7" s="116"/>
      <c r="H7" s="95"/>
      <c r="I7" s="91"/>
      <c r="J7" s="91"/>
      <c r="K7" s="34"/>
      <c r="L7" s="34"/>
      <c r="M7" s="34"/>
      <c r="N7" s="34"/>
      <c r="O7" s="34"/>
      <c r="P7" s="34"/>
      <c r="Q7" s="34"/>
    </row>
    <row r="8" spans="1:21" ht="15" customHeight="1" x14ac:dyDescent="0.2">
      <c r="A8" s="132" t="str">
        <f ca="1">IF(OR(E8="en juego",E8="hoy!",E8="finalizado"),"  -&gt;     1","1")</f>
        <v>1</v>
      </c>
      <c r="B8" s="118" t="s">
        <v>31</v>
      </c>
      <c r="C8" s="133">
        <v>38902</v>
      </c>
      <c r="D8" s="134">
        <v>0.66666666666666663</v>
      </c>
      <c r="E8" s="135" t="str">
        <f ca="1">IF(OR(C8="",D8="",C8&lt;$L$4),"",IF(C8=$L$4,IF(AND(D8&lt;=$S$24,$S$24&lt;=(D8+0.08333333333)),"en juego",IF($S$24&lt;D8,"hoy!","finalizado")),IF($L$4&gt;C8,"finalizado","")))</f>
        <v/>
      </c>
      <c r="F8" s="122"/>
      <c r="G8" s="102"/>
      <c r="H8" s="103"/>
      <c r="I8" s="104"/>
      <c r="J8" s="136" t="str">
        <f>IF(OR(F7="",F9="",AND(F7=F9,OR(G7="",G9=""))),"SF1",IF(F7=F9,IF(G7&gt;G9,E7,E9),IF(F7&gt;F9,E7,E9)))</f>
        <v>SF1</v>
      </c>
      <c r="K8" s="34"/>
      <c r="L8" s="34"/>
      <c r="M8" s="34"/>
      <c r="N8" s="34"/>
      <c r="O8" s="34"/>
      <c r="P8" s="34"/>
      <c r="Q8" s="34"/>
    </row>
    <row r="9" spans="1:21" ht="15" customHeight="1" x14ac:dyDescent="0.2">
      <c r="A9" s="112"/>
      <c r="B9" s="124"/>
      <c r="C9" s="113"/>
      <c r="D9" s="113"/>
      <c r="E9" s="130" t="str">
        <f>'Cuartos de Final'!J16</f>
        <v>CF3</v>
      </c>
      <c r="F9" s="131"/>
      <c r="G9" s="125"/>
      <c r="H9" s="108"/>
      <c r="I9" s="91"/>
      <c r="J9" s="91"/>
      <c r="K9" s="34"/>
      <c r="L9" s="34"/>
      <c r="M9" s="34"/>
      <c r="N9" s="34"/>
      <c r="O9" s="34"/>
      <c r="P9" s="34"/>
      <c r="Q9" s="34"/>
    </row>
    <row r="10" spans="1:21" ht="32.1" customHeight="1" x14ac:dyDescent="0.2">
      <c r="A10" s="112"/>
      <c r="B10" s="124"/>
      <c r="C10" s="113"/>
      <c r="D10" s="113"/>
      <c r="E10" s="126"/>
      <c r="F10" s="122"/>
      <c r="G10" s="91"/>
      <c r="H10" s="91"/>
      <c r="I10" s="91"/>
      <c r="J10" s="91"/>
      <c r="K10" s="34"/>
      <c r="L10" s="34"/>
      <c r="M10" s="34"/>
      <c r="N10" s="34"/>
      <c r="O10" s="34"/>
      <c r="P10" s="34"/>
      <c r="Q10" s="34"/>
    </row>
    <row r="11" spans="1:21" ht="15" customHeight="1" x14ac:dyDescent="0.2">
      <c r="A11" s="112"/>
      <c r="B11" s="124"/>
      <c r="C11" s="113"/>
      <c r="D11" s="113"/>
      <c r="E11" s="130" t="str">
        <f>'Cuartos de Final'!J12</f>
        <v>CF2</v>
      </c>
      <c r="F11" s="131"/>
      <c r="G11" s="116"/>
      <c r="H11" s="95"/>
      <c r="I11" s="91"/>
      <c r="J11" s="91"/>
      <c r="K11" s="34"/>
      <c r="L11" s="34"/>
      <c r="M11" s="34"/>
      <c r="N11" s="34"/>
      <c r="O11" s="34"/>
      <c r="P11" s="34"/>
      <c r="Q11" s="34"/>
    </row>
    <row r="12" spans="1:21" ht="15" customHeight="1" x14ac:dyDescent="0.2">
      <c r="A12" s="132" t="str">
        <f ca="1">IF(OR(E12="en juego",E12="hoy!",E12="finalizado"),"  -&gt;     2","2")</f>
        <v>2</v>
      </c>
      <c r="B12" s="118" t="s">
        <v>28</v>
      </c>
      <c r="C12" s="133">
        <v>38903</v>
      </c>
      <c r="D12" s="134">
        <v>0.66666666666666663</v>
      </c>
      <c r="E12" s="135" t="str">
        <f ca="1">IF(OR(C12="",D12="",C12&lt;$L$4),"",IF(C12=$L$4,IF(AND(D12&lt;=$S$24,$S$24&lt;=(D12+0.08333333333)),"en juego",IF($S$24&lt;D12,"hoy!","finalizado")),IF($L$4&gt;C12,"finalizado","")))</f>
        <v/>
      </c>
      <c r="F12" s="122"/>
      <c r="G12" s="102"/>
      <c r="H12" s="103"/>
      <c r="I12" s="104"/>
      <c r="J12" s="136" t="str">
        <f>IF(OR(F11="",F13="",AND(F11=F13,OR(G11="",G13=""))),"SF2",IF(F11=F13,IF(G11&gt;G13,E11,E13),IF(F11&gt;F13,E11,E13)))</f>
        <v>SF2</v>
      </c>
      <c r="K12" s="34"/>
      <c r="L12" s="34"/>
      <c r="M12" s="34"/>
      <c r="N12" s="34"/>
      <c r="O12" s="34"/>
      <c r="P12" s="34"/>
      <c r="Q12" s="34"/>
    </row>
    <row r="13" spans="1:21" ht="15" customHeight="1" x14ac:dyDescent="0.2">
      <c r="A13" s="112"/>
      <c r="B13" s="113"/>
      <c r="C13" s="113"/>
      <c r="D13" s="113"/>
      <c r="E13" s="130" t="str">
        <f>'Cuartos de Final'!J20</f>
        <v>CF4</v>
      </c>
      <c r="F13" s="131"/>
      <c r="G13" s="125"/>
      <c r="H13" s="108"/>
      <c r="I13" s="91"/>
      <c r="J13" s="91"/>
      <c r="K13" s="34"/>
      <c r="L13" s="34"/>
      <c r="M13" s="34"/>
      <c r="N13" s="34"/>
      <c r="O13" s="34"/>
      <c r="P13" s="34"/>
      <c r="Q13" s="34"/>
    </row>
    <row r="14" spans="1:21" ht="15" customHeight="1" x14ac:dyDescent="0.2">
      <c r="A14" s="90"/>
      <c r="B14" s="91"/>
      <c r="C14" s="91"/>
      <c r="D14" s="91"/>
      <c r="E14" s="91"/>
      <c r="F14" s="91"/>
      <c r="G14" s="91"/>
      <c r="H14" s="91"/>
      <c r="I14" s="91"/>
      <c r="J14" s="91"/>
      <c r="K14" s="34"/>
      <c r="L14" s="34"/>
      <c r="M14" s="34"/>
      <c r="N14" s="34"/>
      <c r="O14" s="34"/>
      <c r="P14" s="34"/>
      <c r="Q14" s="34"/>
    </row>
    <row r="15" spans="1:21" ht="14.25" customHeight="1" x14ac:dyDescent="0.2">
      <c r="A15" s="90"/>
      <c r="B15" s="91"/>
      <c r="C15" s="91"/>
      <c r="D15" s="91"/>
      <c r="E15" s="91"/>
      <c r="F15" s="91"/>
      <c r="G15" s="91"/>
      <c r="H15" s="91"/>
      <c r="I15" s="91"/>
      <c r="J15" s="91"/>
      <c r="K15" s="34"/>
      <c r="L15" s="34"/>
      <c r="M15" s="34"/>
      <c r="N15" s="34"/>
      <c r="O15" s="34"/>
      <c r="P15" s="34"/>
      <c r="Q15" s="34"/>
    </row>
    <row r="16" spans="1:21" ht="14.25" customHeight="1" x14ac:dyDescent="0.2">
      <c r="A16" s="111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1:19" ht="14.25" customHeight="1" x14ac:dyDescent="0.2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9" ht="15" customHeight="1" x14ac:dyDescent="0.2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</row>
    <row r="19" spans="1:19" ht="14.25" customHeight="1" x14ac:dyDescent="0.2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0" spans="1:19" ht="14.25" customHeight="1" x14ac:dyDescent="0.2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</row>
    <row r="21" spans="1:19" ht="14.2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</row>
    <row r="22" spans="1:19" ht="1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</row>
    <row r="23" spans="1:19" hidden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68">
        <f ca="1">HOUR(M4)</f>
        <v>18</v>
      </c>
      <c r="S23" s="68">
        <f ca="1">MINUTE(M4)</f>
        <v>56</v>
      </c>
    </row>
    <row r="24" spans="1:19" hidden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68"/>
      <c r="S24" s="70">
        <f ca="1">TIME(R23,S23,0)</f>
        <v>0.78888888888888886</v>
      </c>
    </row>
    <row r="25" spans="1:19" ht="1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</row>
    <row r="26" spans="1:19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</row>
    <row r="27" spans="1:19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8" spans="1:19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</row>
    <row r="29" spans="1:19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9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</row>
    <row r="31" spans="1:19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</row>
    <row r="32" spans="1:19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</row>
    <row r="33" spans="1:17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</row>
    <row r="34" spans="1:17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</row>
    <row r="35" spans="1:17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</row>
    <row r="36" spans="1:17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</row>
    <row r="37" spans="1:17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</row>
    <row r="39" spans="1:17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</row>
    <row r="40" spans="1:17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pans="1:17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</row>
    <row r="42" spans="1:17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</row>
    <row r="43" spans="1:17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</row>
    <row r="44" spans="1:17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</row>
    <row r="45" spans="1:17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</row>
    <row r="46" spans="1:17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</row>
    <row r="47" spans="1:17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</row>
    <row r="48" spans="1:17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</row>
    <row r="49" spans="1:12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</row>
    <row r="50" spans="1:12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</row>
    <row r="51" spans="1:12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1:12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1:12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</row>
    <row r="54" spans="1:12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1:12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</row>
    <row r="56" spans="1:12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</row>
    <row r="57" spans="1:12" x14ac:dyDescent="0.2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</row>
    <row r="58" spans="1:12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</row>
    <row r="59" spans="1:12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</row>
    <row r="60" spans="1:12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</row>
    <row r="61" spans="1:12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</row>
    <row r="62" spans="1:12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</row>
    <row r="63" spans="1:12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</row>
    <row r="64" spans="1:12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</row>
    <row r="65" spans="1:12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</row>
    <row r="66" spans="1:12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</row>
    <row r="67" spans="1:12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1:12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</row>
    <row r="69" spans="1:12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</row>
    <row r="70" spans="1:12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</row>
    <row r="71" spans="1:12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</row>
    <row r="72" spans="1:12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</row>
    <row r="73" spans="1:12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</row>
    <row r="74" spans="1:12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</row>
    <row r="75" spans="1:12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</row>
    <row r="76" spans="1:12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1:12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1:12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</row>
    <row r="79" spans="1:12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</row>
    <row r="80" spans="1:12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1:12" x14ac:dyDescent="0.2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1:12" x14ac:dyDescent="0.2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1:12" x14ac:dyDescent="0.2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1:12" x14ac:dyDescent="0.2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1:12" x14ac:dyDescent="0.2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1:12" x14ac:dyDescent="0.2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</row>
    <row r="119" spans="1:12" x14ac:dyDescent="0.2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</row>
    <row r="120" spans="1:12" x14ac:dyDescent="0.2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</row>
    <row r="121" spans="1:12" x14ac:dyDescent="0.2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</row>
    <row r="122" spans="1:12" x14ac:dyDescent="0.2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</row>
    <row r="123" spans="1:12" x14ac:dyDescent="0.2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</row>
    <row r="124" spans="1:12" x14ac:dyDescent="0.2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</row>
    <row r="125" spans="1:12" x14ac:dyDescent="0.2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</row>
    <row r="126" spans="1:12" x14ac:dyDescent="0.2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</row>
    <row r="127" spans="1:12" x14ac:dyDescent="0.2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</row>
    <row r="128" spans="1:12" x14ac:dyDescent="0.2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</row>
    <row r="129" spans="1:12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</row>
    <row r="130" spans="1:12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</row>
    <row r="131" spans="1:12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</row>
    <row r="132" spans="1:12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</row>
    <row r="133" spans="1:12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</row>
    <row r="134" spans="1:12" x14ac:dyDescent="0.2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</row>
    <row r="135" spans="1:12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</row>
    <row r="136" spans="1:12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</row>
    <row r="137" spans="1:12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</row>
    <row r="138" spans="1:12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</row>
    <row r="139" spans="1:12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</row>
    <row r="140" spans="1:12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</row>
    <row r="141" spans="1:12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</row>
    <row r="142" spans="1:12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</row>
    <row r="143" spans="1:12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</row>
    <row r="144" spans="1:12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</row>
    <row r="145" spans="1:12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</row>
    <row r="146" spans="1:12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</row>
    <row r="147" spans="1:12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</row>
    <row r="148" spans="1:12" x14ac:dyDescent="0.2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</row>
    <row r="149" spans="1:12" x14ac:dyDescent="0.2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</row>
    <row r="150" spans="1:12" x14ac:dyDescent="0.2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</row>
    <row r="151" spans="1:12" x14ac:dyDescent="0.2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</row>
    <row r="152" spans="1:12" x14ac:dyDescent="0.2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</row>
  </sheetData>
  <sheetProtection sheet="1" objects="1" scenarios="1"/>
  <mergeCells count="4">
    <mergeCell ref="A1:O2"/>
    <mergeCell ref="B5:D5"/>
    <mergeCell ref="E5:F5"/>
    <mergeCell ref="G5:H5"/>
  </mergeCells>
  <conditionalFormatting sqref="A8:E8">
    <cfRule type="expression" dxfId="8" priority="1" stopIfTrue="1">
      <formula>IF(OR($E$8="hoy!",$E$8="en juego"),1,0)</formula>
    </cfRule>
  </conditionalFormatting>
  <conditionalFormatting sqref="A12:E12">
    <cfRule type="expression" dxfId="7" priority="2" stopIfTrue="1">
      <formula>IF(OR($E$12="hoy!",$E$12="en juego"),1,0)</formula>
    </cfRule>
  </conditionalFormatting>
  <conditionalFormatting sqref="G7 G9">
    <cfRule type="expression" dxfId="6" priority="3" stopIfTrue="1">
      <formula>IF(AND($F$7=$F$9,$F$7&lt;&gt;"",$F$9&lt;&gt;""),1,0)</formula>
    </cfRule>
  </conditionalFormatting>
  <conditionalFormatting sqref="G11 G13">
    <cfRule type="expression" dxfId="5" priority="4" stopIfTrue="1">
      <formula>IF(AND($F$11=$F$13,$F$11&lt;&gt;"",$F$13&lt;&gt;""),1,0)</formula>
    </cfRule>
  </conditionalFormatting>
  <dataValidations count="3">
    <dataValidation type="whole" allowBlank="1" showErrorMessage="1" errorTitle="Dato no válido" error="Ingrese sólo un número entero_x000a_entre 0 y 99." sqref="F9 F13">
      <formula1>0</formula1>
      <formula2>99</formula2>
    </dataValidation>
    <dataValidation operator="equal" showErrorMessage="1" errorTitle="Dato no válido" error="Debe introducir antes el resultado del partido." sqref="G7 G9 G11 G13">
      <formula1>0</formula1>
      <formula2>0</formula2>
    </dataValidation>
    <dataValidation type="whole" allowBlank="1" showErrorMessage="1" errorTitle="Dato no válido." error="Ingrese sólo un número entero_x000a_entre 0 y 99." sqref="F7 F11">
      <formula1>0</formula1>
      <formula2>99</formula2>
    </dataValidation>
  </dataValidations>
  <hyperlinks>
    <hyperlink ref="O4" location="Portada!A1" display="Menu Principal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6"/>
  <sheetViews>
    <sheetView showGridLines="0" showRowColHeaders="0" showOutlineSymbols="0" workbookViewId="0">
      <selection sqref="A1:O2"/>
    </sheetView>
  </sheetViews>
  <sheetFormatPr baseColWidth="10" defaultRowHeight="12.75" x14ac:dyDescent="0.2"/>
  <cols>
    <col min="1" max="1" width="8.7109375" style="52" customWidth="1"/>
    <col min="2" max="2" width="16.28515625" style="52" customWidth="1"/>
    <col min="3" max="4" width="6.7109375" style="52" customWidth="1"/>
    <col min="5" max="5" width="17.7109375" style="52" customWidth="1"/>
    <col min="6" max="6" width="3.7109375" style="52" customWidth="1"/>
    <col min="7" max="7" width="2" style="52" customWidth="1"/>
    <col min="8" max="8" width="6.5703125" style="52" customWidth="1"/>
    <col min="9" max="9" width="10.7109375" style="52" customWidth="1"/>
    <col min="10" max="10" width="16.7109375" style="52" customWidth="1"/>
    <col min="11" max="11" width="2.28515625" style="52" customWidth="1"/>
    <col min="12" max="12" width="7.7109375" style="52" customWidth="1"/>
    <col min="13" max="13" width="5.42578125" style="52" customWidth="1"/>
    <col min="14" max="14" width="1.7109375" style="52" customWidth="1"/>
    <col min="15" max="16384" width="11.42578125" style="52"/>
  </cols>
  <sheetData>
    <row r="1" spans="1:21" s="79" customFormat="1" ht="34.5" customHeight="1" x14ac:dyDescent="0.2">
      <c r="A1" s="198" t="s">
        <v>107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77"/>
      <c r="Q1" s="77"/>
      <c r="R1" s="77"/>
      <c r="S1" s="16"/>
      <c r="T1" s="16"/>
      <c r="U1" s="16"/>
    </row>
    <row r="2" spans="1:21" s="79" customFormat="1" ht="34.5" customHeight="1" x14ac:dyDescent="0.2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77"/>
      <c r="Q2" s="77"/>
      <c r="R2" s="77"/>
      <c r="S2" s="16"/>
      <c r="T2" s="16"/>
      <c r="U2" s="16"/>
    </row>
    <row r="3" spans="1:21" ht="12" customHeight="1" x14ac:dyDescent="0.2">
      <c r="A3" s="137"/>
      <c r="B3" s="34"/>
      <c r="C3" s="35"/>
      <c r="D3" s="34"/>
      <c r="E3" s="80"/>
      <c r="F3" s="80"/>
      <c r="G3" s="34"/>
      <c r="H3" s="34"/>
      <c r="I3" s="34"/>
      <c r="J3" s="34"/>
      <c r="K3" s="34"/>
      <c r="L3" s="81"/>
      <c r="M3" s="82"/>
      <c r="N3" s="34"/>
      <c r="O3" s="34"/>
      <c r="P3" s="34"/>
      <c r="Q3" s="34"/>
      <c r="R3" s="34"/>
    </row>
    <row r="4" spans="1:21" ht="9.75" customHeight="1" x14ac:dyDescent="0.2">
      <c r="A4" s="137"/>
      <c r="B4" s="34"/>
      <c r="C4" s="35"/>
      <c r="D4" s="34"/>
      <c r="E4" s="80"/>
      <c r="F4" s="80"/>
      <c r="G4" s="34"/>
      <c r="H4" s="34"/>
      <c r="I4" s="34"/>
      <c r="J4" s="34"/>
      <c r="K4" s="34"/>
      <c r="L4" s="127">
        <f ca="1">TODAY()</f>
        <v>42230</v>
      </c>
      <c r="M4" s="128">
        <f ca="1">NOW()</f>
        <v>42230.789250000002</v>
      </c>
      <c r="N4" s="34"/>
      <c r="O4" s="86" t="s">
        <v>18</v>
      </c>
      <c r="P4" s="34"/>
      <c r="Q4" s="34"/>
      <c r="R4" s="34"/>
    </row>
    <row r="5" spans="1:21" ht="14.25" customHeight="1" x14ac:dyDescent="0.2">
      <c r="A5" s="137"/>
      <c r="B5" s="138"/>
      <c r="C5" s="139" t="s">
        <v>108</v>
      </c>
      <c r="D5" s="34"/>
      <c r="E5" s="83"/>
      <c r="F5" s="83"/>
      <c r="G5" s="34"/>
      <c r="H5" s="34"/>
      <c r="I5" s="34"/>
      <c r="J5" s="34"/>
      <c r="K5" s="34"/>
      <c r="L5" s="140"/>
      <c r="M5" s="128"/>
      <c r="N5" s="34"/>
      <c r="O5" s="34"/>
      <c r="P5" s="34"/>
      <c r="Q5" s="34"/>
      <c r="R5" s="34"/>
    </row>
    <row r="6" spans="1:21" ht="12" customHeight="1" x14ac:dyDescent="0.25">
      <c r="A6" s="137"/>
      <c r="B6" s="199" t="s">
        <v>93</v>
      </c>
      <c r="C6" s="199"/>
      <c r="D6" s="199"/>
      <c r="E6" s="201" t="s">
        <v>94</v>
      </c>
      <c r="F6" s="201"/>
      <c r="G6" s="202" t="s">
        <v>95</v>
      </c>
      <c r="H6" s="202"/>
      <c r="I6" s="141"/>
      <c r="J6" s="87" t="s">
        <v>108</v>
      </c>
      <c r="K6" s="34"/>
      <c r="L6" s="34"/>
      <c r="M6" s="34"/>
      <c r="N6" s="34"/>
      <c r="O6" s="34"/>
      <c r="P6" s="34"/>
      <c r="Q6" s="34"/>
      <c r="R6" s="34"/>
    </row>
    <row r="7" spans="1:21" ht="9.9499999999999993" customHeight="1" x14ac:dyDescent="0.2">
      <c r="A7" s="142"/>
      <c r="B7" s="113"/>
      <c r="C7" s="113"/>
      <c r="D7" s="113"/>
      <c r="E7" s="91"/>
      <c r="F7" s="91"/>
      <c r="G7" s="91"/>
      <c r="H7" s="91"/>
      <c r="I7" s="91"/>
      <c r="J7" s="91"/>
      <c r="K7" s="34"/>
      <c r="L7" s="34"/>
      <c r="M7" s="34"/>
      <c r="N7" s="34"/>
      <c r="O7" s="34"/>
      <c r="P7" s="34"/>
      <c r="Q7" s="34"/>
      <c r="R7" s="34"/>
    </row>
    <row r="8" spans="1:21" ht="14.25" customHeight="1" x14ac:dyDescent="0.2">
      <c r="A8" s="142"/>
      <c r="B8" s="113"/>
      <c r="C8" s="113"/>
      <c r="D8" s="113"/>
      <c r="E8" s="114" t="str">
        <f>IF(Semifinal!J8="SF1","SF1-2",IF(Semifinal!J8=Semifinal!E7,Semifinal!E9,Semifinal!E7))</f>
        <v>SF1-2</v>
      </c>
      <c r="F8" s="115"/>
      <c r="G8" s="94"/>
      <c r="H8" s="95"/>
      <c r="I8" s="91"/>
      <c r="J8" s="91"/>
      <c r="K8" s="34"/>
      <c r="L8" s="34"/>
      <c r="M8" s="34"/>
      <c r="N8" s="34"/>
      <c r="O8" s="34"/>
      <c r="P8" s="34"/>
      <c r="Q8" s="34"/>
      <c r="R8" s="34"/>
    </row>
    <row r="9" spans="1:21" ht="14.25" customHeight="1" x14ac:dyDescent="0.2">
      <c r="A9" s="143" t="str">
        <f ca="1">IF(OR(E9="en juego",E9="hoy!",E9="finalizado"),"Ø","")</f>
        <v/>
      </c>
      <c r="B9" s="117" t="s">
        <v>62</v>
      </c>
      <c r="C9" s="119">
        <v>38906</v>
      </c>
      <c r="D9" s="120">
        <v>0.66666666666666663</v>
      </c>
      <c r="E9" s="121" t="str">
        <f ca="1">IF(OR(C9="",D9="",C9&lt;$L$4),"",IF(C9=$L$4,IF(AND(D9&lt;=$S$28,$S$28&lt;=(D9+0.08333333333)),"en juego",IF($S$28&lt;D9,"hoy!","finalizado")),IF($L$4&gt;C9,"finalizado","")))</f>
        <v/>
      </c>
      <c r="F9" s="122"/>
      <c r="G9" s="102"/>
      <c r="H9" s="103"/>
      <c r="I9" s="104"/>
      <c r="J9" s="144" t="str">
        <f>IF(OR(F8="",F10="",AND(F8=F10,OR(G8="",G10=""))),"3er puesto",IF(F8=F10,IF(G8&gt;G10,E8,E10),IF(F8&gt;F10,E8,E10)))</f>
        <v>3er puesto</v>
      </c>
      <c r="K9" s="34"/>
      <c r="L9" s="34"/>
      <c r="M9" s="34"/>
      <c r="N9" s="34"/>
      <c r="O9" s="34"/>
      <c r="P9" s="34"/>
      <c r="Q9" s="34"/>
      <c r="R9" s="34"/>
    </row>
    <row r="10" spans="1:21" ht="14.25" customHeight="1" x14ac:dyDescent="0.2">
      <c r="A10" s="142"/>
      <c r="B10" s="113"/>
      <c r="C10" s="113"/>
      <c r="D10" s="113"/>
      <c r="E10" s="114" t="str">
        <f>IF(Semifinal!J12="SF2","SF2-2",IF(Semifinal!J12=Semifinal!E11,Semifinal!E13,Semifinal!E11))</f>
        <v>SF2-2</v>
      </c>
      <c r="F10" s="115"/>
      <c r="G10" s="107"/>
      <c r="H10" s="108"/>
      <c r="I10" s="91"/>
      <c r="J10" s="91"/>
      <c r="K10" s="34"/>
      <c r="L10" s="34"/>
      <c r="M10" s="34"/>
      <c r="N10" s="34"/>
      <c r="O10" s="34"/>
      <c r="P10" s="34"/>
      <c r="Q10" s="34"/>
      <c r="R10" s="34"/>
    </row>
    <row r="11" spans="1:21" ht="24.95" customHeight="1" x14ac:dyDescent="0.2">
      <c r="A11" s="142"/>
      <c r="B11" s="113"/>
      <c r="C11" s="113"/>
      <c r="D11" s="113"/>
      <c r="E11" s="145"/>
      <c r="F11" s="146"/>
      <c r="G11" s="147"/>
      <c r="H11" s="104"/>
      <c r="I11" s="91"/>
      <c r="J11" s="91"/>
      <c r="K11" s="34"/>
      <c r="L11" s="34"/>
      <c r="M11" s="34"/>
      <c r="N11" s="34"/>
      <c r="O11" s="34"/>
      <c r="P11" s="34"/>
      <c r="Q11" s="34"/>
      <c r="R11" s="34"/>
    </row>
    <row r="12" spans="1:21" ht="15" customHeight="1" x14ac:dyDescent="0.2">
      <c r="A12" s="148"/>
      <c r="B12" s="149" t="s">
        <v>109</v>
      </c>
      <c r="C12" s="83"/>
      <c r="D12" s="34"/>
      <c r="E12" s="150"/>
      <c r="F12" s="150"/>
      <c r="G12" s="113"/>
      <c r="H12" s="113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spans="1:21" ht="15" customHeight="1" x14ac:dyDescent="0.2">
      <c r="A13" s="151"/>
      <c r="B13" s="203" t="s">
        <v>93</v>
      </c>
      <c r="C13" s="203"/>
      <c r="D13" s="203"/>
      <c r="E13" s="203" t="s">
        <v>94</v>
      </c>
      <c r="F13" s="203"/>
      <c r="G13" s="204" t="s">
        <v>95</v>
      </c>
      <c r="H13" s="204"/>
      <c r="I13" s="151"/>
      <c r="J13" s="152" t="s">
        <v>110</v>
      </c>
      <c r="K13" s="151"/>
      <c r="L13" s="151"/>
      <c r="M13" s="151"/>
      <c r="N13" s="151"/>
      <c r="O13" s="34"/>
      <c r="P13" s="34"/>
      <c r="Q13" s="34"/>
      <c r="R13" s="34"/>
    </row>
    <row r="14" spans="1:21" ht="16.5" customHeight="1" x14ac:dyDescent="0.2">
      <c r="A14" s="112"/>
      <c r="B14" s="113"/>
      <c r="C14" s="113"/>
      <c r="D14" s="113"/>
      <c r="E14" s="91"/>
      <c r="F14" s="153"/>
      <c r="G14" s="91"/>
      <c r="H14" s="91"/>
      <c r="I14" s="91"/>
      <c r="J14" s="91"/>
      <c r="K14" s="34"/>
      <c r="L14" s="34"/>
      <c r="M14" s="34"/>
      <c r="N14" s="34"/>
      <c r="O14" s="34"/>
      <c r="P14" s="34"/>
      <c r="Q14" s="34"/>
      <c r="R14" s="34"/>
    </row>
    <row r="15" spans="1:21" ht="18" customHeight="1" x14ac:dyDescent="0.2">
      <c r="A15" s="112"/>
      <c r="B15" s="113"/>
      <c r="C15" s="113"/>
      <c r="D15" s="113"/>
      <c r="E15" s="154" t="str">
        <f>Semifinal!J8</f>
        <v>SF1</v>
      </c>
      <c r="F15" s="131"/>
      <c r="G15" s="155"/>
      <c r="H15" s="104"/>
      <c r="I15" s="91"/>
      <c r="J15" s="91"/>
      <c r="K15" s="34"/>
      <c r="L15" s="34"/>
      <c r="M15" s="34"/>
      <c r="N15" s="34"/>
      <c r="O15" s="34"/>
      <c r="P15" s="34"/>
      <c r="Q15" s="34"/>
      <c r="R15" s="34"/>
    </row>
    <row r="16" spans="1:21" ht="18" customHeight="1" x14ac:dyDescent="0.2">
      <c r="A16" s="156" t="str">
        <f ca="1">IF(OR(E16="en juego",E16="hoy!",E16="finalizado"),"Ø","")</f>
        <v/>
      </c>
      <c r="B16" s="157" t="s">
        <v>77</v>
      </c>
      <c r="C16" s="158">
        <v>38907</v>
      </c>
      <c r="D16" s="159">
        <v>0.625</v>
      </c>
      <c r="E16" s="160" t="str">
        <f ca="1">IF(OR(C16="",D16="",C16&lt;$L$4),"",IF(C16=$L$4,IF(AND(D16&lt;=$S$28,$S$28&lt;=(D16+0.08333333333)),"en juego",IF($S$28&lt;D16,"hoy!","finalizado")),IF($L$4&gt;C16,"finalizado","")))</f>
        <v/>
      </c>
      <c r="F16" s="122"/>
      <c r="G16" s="102"/>
      <c r="H16" s="103"/>
      <c r="I16" s="104"/>
      <c r="J16" s="205" t="str">
        <f>IF(OR(F15="",F17="",AND(F15=F17,OR(G15="",G17=""))),"CAMPEON",IF(F15=F17,IF(G15&gt;G17,E15,E17),IF(F15&gt;F17,E15,E17)))</f>
        <v>CAMPEON</v>
      </c>
      <c r="K16" s="205"/>
      <c r="L16" s="34"/>
      <c r="M16" s="34"/>
      <c r="N16" s="34"/>
      <c r="O16" s="34"/>
      <c r="P16" s="34"/>
      <c r="Q16" s="34"/>
      <c r="R16" s="34"/>
    </row>
    <row r="17" spans="1:19" ht="18" customHeight="1" x14ac:dyDescent="0.2">
      <c r="A17" s="112"/>
      <c r="B17" s="113"/>
      <c r="C17" s="113"/>
      <c r="D17" s="113"/>
      <c r="E17" s="154" t="str">
        <f>Semifinal!J12</f>
        <v>SF2</v>
      </c>
      <c r="F17" s="131"/>
      <c r="G17" s="155"/>
      <c r="H17" s="104"/>
      <c r="I17" s="206" t="str">
        <f>IF(J16="CAMPEON","","CAMPEONES DEL MUNDO 2002")</f>
        <v/>
      </c>
      <c r="J17" s="206"/>
      <c r="K17" s="206"/>
      <c r="L17" s="206"/>
      <c r="M17" s="34"/>
      <c r="N17" s="34"/>
      <c r="O17" s="34"/>
      <c r="P17" s="34"/>
      <c r="Q17" s="34"/>
      <c r="R17" s="34"/>
    </row>
    <row r="18" spans="1:19" ht="15" customHeight="1" x14ac:dyDescent="0.2">
      <c r="A18" s="90"/>
      <c r="B18" s="91"/>
      <c r="C18" s="91"/>
      <c r="D18" s="91"/>
      <c r="E18" s="91"/>
      <c r="F18" s="91"/>
      <c r="G18" s="91"/>
      <c r="H18" s="91"/>
      <c r="I18" s="91"/>
      <c r="J18" s="91"/>
      <c r="K18" s="34"/>
      <c r="L18" s="34"/>
      <c r="M18" s="34"/>
      <c r="N18" s="34"/>
      <c r="O18" s="34"/>
      <c r="P18" s="34"/>
      <c r="Q18" s="34"/>
      <c r="R18" s="34"/>
    </row>
    <row r="19" spans="1:19" ht="14.25" customHeight="1" x14ac:dyDescent="0.2">
      <c r="A19" s="90"/>
      <c r="B19" s="91"/>
      <c r="C19" s="91"/>
      <c r="D19" s="91"/>
      <c r="E19" s="91"/>
      <c r="F19" s="91"/>
      <c r="G19" s="91"/>
      <c r="H19" s="91"/>
      <c r="I19" s="91"/>
      <c r="J19" s="91"/>
      <c r="K19" s="34"/>
      <c r="L19" s="34"/>
      <c r="M19" s="34"/>
      <c r="N19" s="34"/>
      <c r="O19" s="34"/>
      <c r="P19" s="34"/>
      <c r="Q19" s="34"/>
      <c r="R19" s="34"/>
    </row>
    <row r="20" spans="1:19" ht="14.25" customHeight="1" x14ac:dyDescent="0.2">
      <c r="A20" s="111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</row>
    <row r="21" spans="1:19" ht="14.25" customHeight="1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</row>
    <row r="22" spans="1:19" ht="1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</row>
    <row r="23" spans="1:19" ht="14.2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</row>
    <row r="24" spans="1:19" ht="14.25" customHeight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</row>
    <row r="25" spans="1:19" ht="14.2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</row>
    <row r="26" spans="1:19" ht="1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</row>
    <row r="27" spans="1:19" hidden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109">
        <f ca="1">HOUR(M4)</f>
        <v>18</v>
      </c>
      <c r="S27" s="68">
        <f ca="1">MINUTE(M4)</f>
        <v>56</v>
      </c>
    </row>
    <row r="28" spans="1:19" hidden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109"/>
      <c r="S28" s="70">
        <f ca="1">TIME(R27,S27,0)</f>
        <v>0.78888888888888886</v>
      </c>
    </row>
    <row r="29" spans="1:19" ht="15" customHeight="1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</row>
    <row r="30" spans="1:19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</row>
    <row r="31" spans="1:19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</row>
    <row r="32" spans="1:19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</row>
    <row r="33" spans="1:18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</row>
    <row r="34" spans="1:18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</row>
    <row r="35" spans="1:18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</row>
    <row r="36" spans="1:18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</row>
    <row r="37" spans="1:18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</row>
    <row r="38" spans="1:18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</row>
    <row r="39" spans="1:18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</row>
    <row r="40" spans="1:18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</row>
    <row r="41" spans="1:18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</row>
    <row r="42" spans="1:18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</row>
    <row r="43" spans="1:18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</row>
    <row r="44" spans="1:18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</row>
    <row r="45" spans="1:18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</row>
    <row r="46" spans="1:18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</row>
    <row r="47" spans="1:18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</row>
    <row r="48" spans="1:18" x14ac:dyDescent="0.2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</row>
    <row r="49" spans="1:18" x14ac:dyDescent="0.2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</row>
    <row r="50" spans="1:18" x14ac:dyDescent="0.2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</row>
    <row r="51" spans="1:18" x14ac:dyDescent="0.2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</row>
    <row r="52" spans="1:18" x14ac:dyDescent="0.2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</row>
    <row r="53" spans="1:18" x14ac:dyDescent="0.2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</row>
    <row r="54" spans="1:18" x14ac:dyDescent="0.2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</row>
    <row r="55" spans="1:18" x14ac:dyDescent="0.2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</row>
    <row r="56" spans="1:18" x14ac:dyDescent="0.2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</row>
    <row r="57" spans="1:18" x14ac:dyDescent="0.2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</row>
    <row r="58" spans="1:18" x14ac:dyDescent="0.2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</row>
    <row r="59" spans="1:18" x14ac:dyDescent="0.2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</row>
    <row r="60" spans="1:18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</row>
    <row r="61" spans="1:18" x14ac:dyDescent="0.2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</row>
    <row r="62" spans="1:18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</row>
    <row r="63" spans="1:18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</row>
    <row r="64" spans="1:18" x14ac:dyDescent="0.2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</row>
    <row r="65" spans="1:18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</row>
    <row r="66" spans="1:18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</row>
    <row r="67" spans="1:18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</row>
    <row r="68" spans="1:18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</row>
    <row r="69" spans="1:18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</row>
    <row r="70" spans="1:18" x14ac:dyDescent="0.2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</row>
    <row r="71" spans="1:18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</row>
    <row r="72" spans="1:18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</row>
    <row r="73" spans="1:18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</row>
    <row r="74" spans="1:18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</row>
    <row r="75" spans="1:18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</row>
    <row r="76" spans="1:18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1:18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1:18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</row>
    <row r="79" spans="1:18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</row>
    <row r="80" spans="1:18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1:12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</row>
    <row r="82" spans="1:12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</row>
    <row r="83" spans="1:12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</row>
    <row r="84" spans="1:12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</row>
    <row r="85" spans="1:12" x14ac:dyDescent="0.2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1:12" x14ac:dyDescent="0.2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1:12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1:12" x14ac:dyDescent="0.2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1:12" x14ac:dyDescent="0.2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</row>
    <row r="90" spans="1:12" x14ac:dyDescent="0.2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</row>
    <row r="91" spans="1:12" x14ac:dyDescent="0.2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</row>
    <row r="92" spans="1:12" x14ac:dyDescent="0.2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</row>
    <row r="93" spans="1:12" x14ac:dyDescent="0.2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1:12" x14ac:dyDescent="0.2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1:12" x14ac:dyDescent="0.2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1:12" x14ac:dyDescent="0.2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1:12" x14ac:dyDescent="0.2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1:12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1:12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</row>
    <row r="100" spans="1:12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</row>
    <row r="101" spans="1:12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1:12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1:12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1:12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1:12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1:12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</row>
    <row r="109" spans="1:12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</row>
    <row r="110" spans="1:12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</row>
    <row r="111" spans="1:12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1:12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1:12" x14ac:dyDescent="0.2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1:12" x14ac:dyDescent="0.2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1:12" x14ac:dyDescent="0.2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1:12" x14ac:dyDescent="0.2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1:12" x14ac:dyDescent="0.2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1:12" x14ac:dyDescent="0.2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</row>
    <row r="119" spans="1:12" x14ac:dyDescent="0.2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</row>
    <row r="120" spans="1:12" x14ac:dyDescent="0.2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</row>
    <row r="121" spans="1:12" x14ac:dyDescent="0.2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</row>
    <row r="122" spans="1:12" x14ac:dyDescent="0.2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</row>
    <row r="123" spans="1:12" x14ac:dyDescent="0.2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</row>
    <row r="124" spans="1:12" x14ac:dyDescent="0.2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</row>
    <row r="125" spans="1:12" x14ac:dyDescent="0.2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</row>
    <row r="126" spans="1:12" x14ac:dyDescent="0.2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</row>
    <row r="127" spans="1:12" x14ac:dyDescent="0.2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</row>
    <row r="128" spans="1:12" x14ac:dyDescent="0.2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</row>
    <row r="129" spans="1:12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</row>
    <row r="130" spans="1:12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</row>
    <row r="131" spans="1:12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</row>
    <row r="132" spans="1:12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</row>
    <row r="133" spans="1:12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</row>
    <row r="134" spans="1:12" x14ac:dyDescent="0.2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</row>
    <row r="135" spans="1:12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</row>
    <row r="136" spans="1:12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</row>
    <row r="137" spans="1:12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</row>
    <row r="138" spans="1:12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</row>
    <row r="139" spans="1:12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</row>
    <row r="140" spans="1:12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</row>
    <row r="141" spans="1:12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</row>
    <row r="142" spans="1:12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</row>
    <row r="143" spans="1:12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</row>
    <row r="144" spans="1:12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</row>
    <row r="145" spans="1:12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</row>
    <row r="146" spans="1:12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</row>
    <row r="147" spans="1:12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</row>
    <row r="148" spans="1:12" x14ac:dyDescent="0.2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</row>
    <row r="149" spans="1:12" x14ac:dyDescent="0.2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</row>
    <row r="150" spans="1:12" x14ac:dyDescent="0.2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</row>
    <row r="151" spans="1:12" x14ac:dyDescent="0.2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</row>
    <row r="152" spans="1:12" x14ac:dyDescent="0.2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</row>
    <row r="153" spans="1:12" x14ac:dyDescent="0.2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</row>
    <row r="154" spans="1:12" x14ac:dyDescent="0.2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</row>
    <row r="155" spans="1:12" x14ac:dyDescent="0.2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</row>
    <row r="156" spans="1:12" x14ac:dyDescent="0.2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</row>
  </sheetData>
  <sheetProtection sheet="1" objects="1" scenarios="1"/>
  <mergeCells count="9">
    <mergeCell ref="J16:K16"/>
    <mergeCell ref="I17:L17"/>
    <mergeCell ref="A1:O2"/>
    <mergeCell ref="B6:D6"/>
    <mergeCell ref="E6:F6"/>
    <mergeCell ref="G6:H6"/>
    <mergeCell ref="B13:D13"/>
    <mergeCell ref="E13:F13"/>
    <mergeCell ref="G13:H13"/>
  </mergeCells>
  <conditionalFormatting sqref="A9:E9">
    <cfRule type="expression" dxfId="4" priority="1" stopIfTrue="1">
      <formula>IF(OR($E$9="en juego",$E$9="hoy!"),1,0)</formula>
    </cfRule>
  </conditionalFormatting>
  <conditionalFormatting sqref="A16:E16">
    <cfRule type="expression" dxfId="3" priority="2" stopIfTrue="1">
      <formula>IF(OR($E$16="en juego",$E$16="hoy!"),1,0)</formula>
    </cfRule>
  </conditionalFormatting>
  <conditionalFormatting sqref="G8 G10">
    <cfRule type="expression" dxfId="2" priority="3" stopIfTrue="1">
      <formula>IF(AND($F$8=$F$10,$F$8&lt;&gt;"",$F$10&lt;&gt;""),1,0)</formula>
    </cfRule>
  </conditionalFormatting>
  <conditionalFormatting sqref="G15 G17">
    <cfRule type="expression" dxfId="1" priority="4" stopIfTrue="1">
      <formula>IF(AND($F$15=$F$17,$F$15&lt;&gt;"",$F$17&lt;&gt;""),1,0)</formula>
    </cfRule>
  </conditionalFormatting>
  <conditionalFormatting sqref="J16:K16">
    <cfRule type="cellIs" dxfId="0" priority="5" stopIfTrue="1" operator="notEqual">
      <formula>"CAMPEON"</formula>
    </cfRule>
  </conditionalFormatting>
  <dataValidations count="4">
    <dataValidation type="whole" allowBlank="1" showErrorMessage="1" errorTitle="Dato no válido" error="Ingrese sólo un número entero_x000a_entre 0 y 99." sqref="F10:F11 F17">
      <formula1>0</formula1>
      <formula2>99</formula2>
    </dataValidation>
    <dataValidation operator="equal" showErrorMessage="1" errorTitle="Dato no válido" error="Debe introducir antes el resultado del partido." sqref="G8 G10 G15 G17">
      <formula1>0</formula1>
      <formula2>0</formula2>
    </dataValidation>
    <dataValidation type="whole" allowBlank="1" showErrorMessage="1" errorTitle="Dato no válido." error="Ingrese sólo un número entero_x000a_entre 0 y 99." sqref="F8 F15">
      <formula1>0</formula1>
      <formula2>99</formula2>
    </dataValidation>
    <dataValidation operator="equal" allowBlank="1" showErrorMessage="1" errorTitle="Entrada no válida." error="El resultado del partido debe ser empate." sqref="G11">
      <formula1>0</formula1>
      <formula2>0</formula2>
    </dataValidation>
  </dataValidations>
  <hyperlinks>
    <hyperlink ref="O4" location="Portada!A1" display="Menu Principal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69"/>
  <sheetViews>
    <sheetView showGridLines="0" showRowColHeaders="0" showOutlineSymbols="0" topLeftCell="A52" workbookViewId="0">
      <selection activeCell="AA60" sqref="AA60:AC61"/>
    </sheetView>
  </sheetViews>
  <sheetFormatPr baseColWidth="10" defaultRowHeight="12.75" x14ac:dyDescent="0.2"/>
  <cols>
    <col min="1" max="1" width="1.42578125" style="161" customWidth="1"/>
    <col min="2" max="2" width="8.5703125" style="161" customWidth="1"/>
    <col min="3" max="3" width="3.140625" style="161" customWidth="1"/>
    <col min="4" max="4" width="1" style="161" customWidth="1"/>
    <col min="5" max="5" width="3.140625" style="161" customWidth="1"/>
    <col min="6" max="6" width="8.5703125" style="161" customWidth="1"/>
    <col min="7" max="8" width="2.28515625" style="161" customWidth="1"/>
    <col min="9" max="9" width="8.7109375" style="161" customWidth="1"/>
    <col min="10" max="10" width="3.140625" style="161" customWidth="1"/>
    <col min="11" max="11" width="1" style="161" customWidth="1"/>
    <col min="12" max="12" width="3.140625" style="161" customWidth="1"/>
    <col min="13" max="13" width="8.7109375" style="161" customWidth="1"/>
    <col min="14" max="15" width="2.28515625" style="161" customWidth="1"/>
    <col min="16" max="16" width="8.85546875" style="161" customWidth="1"/>
    <col min="17" max="17" width="3.140625" style="161" customWidth="1"/>
    <col min="18" max="18" width="1" style="161" customWidth="1"/>
    <col min="19" max="19" width="3.140625" style="161" customWidth="1"/>
    <col min="20" max="20" width="8.85546875" style="161" customWidth="1"/>
    <col min="21" max="22" width="2.28515625" style="161" customWidth="1"/>
    <col min="23" max="23" width="7.42578125" style="161" customWidth="1"/>
    <col min="24" max="24" width="3.140625" style="161" customWidth="1"/>
    <col min="25" max="25" width="1" style="161" customWidth="1"/>
    <col min="26" max="26" width="3.140625" style="161" customWidth="1"/>
    <col min="27" max="27" width="7.42578125" style="161" customWidth="1"/>
    <col min="28" max="28" width="1" style="161" customWidth="1"/>
    <col min="29" max="30" width="6.7109375" style="161" customWidth="1"/>
    <col min="31" max="16384" width="11.42578125" style="161"/>
  </cols>
  <sheetData>
    <row r="1" spans="2:27" ht="5.0999999999999996" customHeight="1" x14ac:dyDescent="0.2"/>
    <row r="2" spans="2:27" x14ac:dyDescent="0.2">
      <c r="B2" s="207" t="s">
        <v>111</v>
      </c>
      <c r="C2" s="207"/>
      <c r="D2" s="207"/>
      <c r="E2" s="207"/>
      <c r="F2" s="207"/>
      <c r="I2" s="207" t="s">
        <v>112</v>
      </c>
      <c r="J2" s="207"/>
      <c r="K2" s="207"/>
      <c r="L2" s="207"/>
      <c r="M2" s="207"/>
      <c r="P2" s="207" t="s">
        <v>113</v>
      </c>
      <c r="Q2" s="207"/>
      <c r="R2" s="207"/>
      <c r="S2" s="207"/>
      <c r="T2" s="207"/>
      <c r="W2" s="207" t="s">
        <v>114</v>
      </c>
      <c r="X2" s="207"/>
      <c r="Y2" s="207"/>
      <c r="Z2" s="207"/>
      <c r="AA2" s="207"/>
    </row>
    <row r="3" spans="2:27" ht="5.0999999999999996" customHeight="1" x14ac:dyDescent="0.2"/>
    <row r="4" spans="2:27" x14ac:dyDescent="0.2">
      <c r="B4" s="162" t="s">
        <v>30</v>
      </c>
      <c r="C4" s="163"/>
      <c r="D4" s="164"/>
      <c r="E4" s="163"/>
      <c r="F4" s="165" t="s">
        <v>33</v>
      </c>
      <c r="G4" s="162"/>
      <c r="H4" s="162"/>
      <c r="I4" s="162" t="s">
        <v>51</v>
      </c>
      <c r="J4" s="163"/>
      <c r="K4" s="164"/>
      <c r="L4" s="163"/>
      <c r="M4" s="165" t="s">
        <v>53</v>
      </c>
      <c r="N4" s="162"/>
      <c r="O4" s="162"/>
      <c r="P4" s="162" t="s">
        <v>61</v>
      </c>
      <c r="Q4" s="163"/>
      <c r="R4" s="164"/>
      <c r="S4" s="163"/>
      <c r="T4" s="165" t="s">
        <v>115</v>
      </c>
      <c r="W4" s="162" t="s">
        <v>67</v>
      </c>
      <c r="X4" s="163"/>
      <c r="Y4" s="164"/>
      <c r="Z4" s="163"/>
      <c r="AA4" s="165" t="s">
        <v>68</v>
      </c>
    </row>
    <row r="5" spans="2:27" ht="5.0999999999999996" customHeight="1" x14ac:dyDescent="0.2">
      <c r="B5" s="162"/>
      <c r="C5" s="164"/>
      <c r="D5" s="164"/>
      <c r="E5" s="164"/>
      <c r="F5" s="165"/>
      <c r="G5" s="162"/>
      <c r="H5" s="162"/>
      <c r="I5" s="162"/>
      <c r="J5" s="164"/>
      <c r="K5" s="164"/>
      <c r="L5" s="164"/>
      <c r="M5" s="165"/>
      <c r="N5" s="162"/>
      <c r="O5" s="162"/>
      <c r="P5" s="162"/>
      <c r="Q5" s="164"/>
      <c r="R5" s="164"/>
      <c r="S5" s="164"/>
      <c r="T5" s="165"/>
      <c r="W5" s="162"/>
      <c r="X5" s="164"/>
      <c r="Y5" s="164"/>
      <c r="Z5" s="164"/>
      <c r="AA5" s="165"/>
    </row>
    <row r="6" spans="2:27" x14ac:dyDescent="0.2">
      <c r="B6" s="162" t="s">
        <v>36</v>
      </c>
      <c r="C6" s="163"/>
      <c r="D6" s="164"/>
      <c r="E6" s="163"/>
      <c r="F6" s="165" t="s">
        <v>37</v>
      </c>
      <c r="G6" s="162"/>
      <c r="H6" s="162"/>
      <c r="I6" s="162" t="s">
        <v>116</v>
      </c>
      <c r="J6" s="163"/>
      <c r="K6" s="164"/>
      <c r="L6" s="163"/>
      <c r="M6" s="165" t="s">
        <v>57</v>
      </c>
      <c r="N6" s="162"/>
      <c r="O6" s="162"/>
      <c r="P6" s="162" t="s">
        <v>117</v>
      </c>
      <c r="Q6" s="163"/>
      <c r="R6" s="164"/>
      <c r="S6" s="163"/>
      <c r="T6" s="165" t="s">
        <v>65</v>
      </c>
      <c r="W6" s="162" t="s">
        <v>69</v>
      </c>
      <c r="X6" s="163"/>
      <c r="Y6" s="164"/>
      <c r="Z6" s="163"/>
      <c r="AA6" s="165" t="s">
        <v>70</v>
      </c>
    </row>
    <row r="7" spans="2:27" ht="5.0999999999999996" customHeight="1" x14ac:dyDescent="0.2">
      <c r="B7" s="162"/>
      <c r="C7" s="164"/>
      <c r="D7" s="164"/>
      <c r="E7" s="164"/>
      <c r="F7" s="165"/>
      <c r="G7" s="162"/>
      <c r="H7" s="162"/>
      <c r="I7" s="162"/>
      <c r="J7" s="164"/>
      <c r="K7" s="164"/>
      <c r="L7" s="164"/>
      <c r="M7" s="165"/>
      <c r="N7" s="162"/>
      <c r="O7" s="162"/>
      <c r="P7" s="162"/>
      <c r="Q7" s="164"/>
      <c r="R7" s="164"/>
      <c r="S7" s="164"/>
      <c r="T7" s="165"/>
      <c r="W7" s="162"/>
      <c r="X7" s="164"/>
      <c r="Y7" s="164"/>
      <c r="Z7" s="164"/>
      <c r="AA7" s="165"/>
    </row>
    <row r="8" spans="2:27" x14ac:dyDescent="0.2">
      <c r="B8" s="162" t="str">
        <f>B4</f>
        <v>Alemania</v>
      </c>
      <c r="C8" s="163"/>
      <c r="D8" s="164"/>
      <c r="E8" s="163"/>
      <c r="F8" s="165" t="str">
        <f>B6</f>
        <v>Polonia</v>
      </c>
      <c r="G8" s="162"/>
      <c r="H8" s="162"/>
      <c r="I8" s="162" t="str">
        <f>I4</f>
        <v>Inglaterra</v>
      </c>
      <c r="J8" s="163"/>
      <c r="K8" s="164"/>
      <c r="L8" s="163"/>
      <c r="M8" s="165" t="str">
        <f>I6</f>
        <v>T y Tobago</v>
      </c>
      <c r="N8" s="162"/>
      <c r="O8" s="162"/>
      <c r="P8" s="162" t="str">
        <f>P4</f>
        <v>Argentina</v>
      </c>
      <c r="Q8" s="163"/>
      <c r="R8" s="164"/>
      <c r="S8" s="163"/>
      <c r="T8" s="165" t="str">
        <f>P6</f>
        <v>Serbia y M.</v>
      </c>
      <c r="W8" s="162" t="str">
        <f>W4</f>
        <v>Mexico</v>
      </c>
      <c r="X8" s="163"/>
      <c r="Y8" s="164"/>
      <c r="Z8" s="163"/>
      <c r="AA8" s="165" t="str">
        <f>W6</f>
        <v>Angola</v>
      </c>
    </row>
    <row r="9" spans="2:27" ht="5.0999999999999996" customHeight="1" x14ac:dyDescent="0.2">
      <c r="B9" s="162"/>
      <c r="C9" s="164"/>
      <c r="D9" s="164"/>
      <c r="E9" s="164"/>
      <c r="F9" s="165"/>
      <c r="G9" s="162"/>
      <c r="H9" s="162"/>
      <c r="I9" s="162"/>
      <c r="J9" s="164"/>
      <c r="K9" s="164"/>
      <c r="L9" s="164"/>
      <c r="M9" s="165"/>
      <c r="N9" s="162"/>
      <c r="O9" s="162"/>
      <c r="P9" s="162"/>
      <c r="Q9" s="164"/>
      <c r="R9" s="164"/>
      <c r="S9" s="164"/>
      <c r="T9" s="165"/>
      <c r="W9" s="162"/>
      <c r="X9" s="164"/>
      <c r="Y9" s="164"/>
      <c r="Z9" s="164"/>
      <c r="AA9" s="165"/>
    </row>
    <row r="10" spans="2:27" x14ac:dyDescent="0.2">
      <c r="B10" s="162" t="str">
        <f>F6</f>
        <v>Ecuador</v>
      </c>
      <c r="C10" s="163"/>
      <c r="D10" s="164"/>
      <c r="E10" s="163"/>
      <c r="F10" s="165" t="str">
        <f>F4</f>
        <v>Costa Rica</v>
      </c>
      <c r="G10" s="162"/>
      <c r="H10" s="162"/>
      <c r="I10" s="162" t="str">
        <f>M6</f>
        <v>Suecia</v>
      </c>
      <c r="J10" s="163"/>
      <c r="K10" s="164"/>
      <c r="L10" s="163"/>
      <c r="M10" s="165" t="str">
        <f>M4</f>
        <v>Paraguay</v>
      </c>
      <c r="N10" s="162"/>
      <c r="O10" s="162"/>
      <c r="P10" s="162" t="str">
        <f>T6</f>
        <v>Holanda</v>
      </c>
      <c r="Q10" s="163"/>
      <c r="R10" s="164"/>
      <c r="S10" s="163"/>
      <c r="T10" s="165" t="str">
        <f>T4</f>
        <v>C. De Marfil</v>
      </c>
      <c r="W10" s="162" t="str">
        <f>AA6</f>
        <v>Portugal</v>
      </c>
      <c r="X10" s="163"/>
      <c r="Y10" s="164"/>
      <c r="Z10" s="163"/>
      <c r="AA10" s="165" t="str">
        <f>AA4</f>
        <v>Iran</v>
      </c>
    </row>
    <row r="11" spans="2:27" ht="5.0999999999999996" customHeight="1" x14ac:dyDescent="0.2">
      <c r="B11" s="162"/>
      <c r="C11" s="164"/>
      <c r="D11" s="164"/>
      <c r="E11" s="164"/>
      <c r="F11" s="165"/>
      <c r="G11" s="162"/>
      <c r="H11" s="162"/>
      <c r="I11" s="162"/>
      <c r="J11" s="164"/>
      <c r="K11" s="164"/>
      <c r="L11" s="164"/>
      <c r="M11" s="165"/>
      <c r="N11" s="162"/>
      <c r="O11" s="162"/>
      <c r="P11" s="162"/>
      <c r="Q11" s="164"/>
      <c r="R11" s="164"/>
      <c r="S11" s="164"/>
      <c r="T11" s="165"/>
      <c r="W11" s="162"/>
      <c r="X11" s="164"/>
      <c r="Y11" s="164"/>
      <c r="Z11" s="164"/>
      <c r="AA11" s="165"/>
    </row>
    <row r="12" spans="2:27" x14ac:dyDescent="0.2">
      <c r="B12" s="162" t="str">
        <f>F6</f>
        <v>Ecuador</v>
      </c>
      <c r="C12" s="163"/>
      <c r="D12" s="164"/>
      <c r="E12" s="163"/>
      <c r="F12" s="165" t="str">
        <f>B4</f>
        <v>Alemania</v>
      </c>
      <c r="G12" s="162"/>
      <c r="H12" s="162"/>
      <c r="I12" s="162" t="str">
        <f>M6</f>
        <v>Suecia</v>
      </c>
      <c r="J12" s="163"/>
      <c r="K12" s="164"/>
      <c r="L12" s="163"/>
      <c r="M12" s="165" t="str">
        <f>I4</f>
        <v>Inglaterra</v>
      </c>
      <c r="N12" s="162"/>
      <c r="O12" s="162"/>
      <c r="P12" s="162" t="str">
        <f>T6</f>
        <v>Holanda</v>
      </c>
      <c r="Q12" s="163"/>
      <c r="R12" s="164"/>
      <c r="S12" s="163"/>
      <c r="T12" s="165" t="str">
        <f>P4</f>
        <v>Argentina</v>
      </c>
      <c r="W12" s="162" t="str">
        <f>AA6</f>
        <v>Portugal</v>
      </c>
      <c r="X12" s="163"/>
      <c r="Y12" s="164"/>
      <c r="Z12" s="163"/>
      <c r="AA12" s="165" t="str">
        <f>W4</f>
        <v>Mexico</v>
      </c>
    </row>
    <row r="13" spans="2:27" ht="5.0999999999999996" customHeight="1" x14ac:dyDescent="0.2">
      <c r="B13" s="162"/>
      <c r="C13" s="164"/>
      <c r="D13" s="164"/>
      <c r="E13" s="164"/>
      <c r="F13" s="165"/>
      <c r="G13" s="162"/>
      <c r="H13" s="162"/>
      <c r="I13" s="162"/>
      <c r="J13" s="164"/>
      <c r="K13" s="164"/>
      <c r="L13" s="164"/>
      <c r="M13" s="165"/>
      <c r="N13" s="162"/>
      <c r="O13" s="162"/>
      <c r="P13" s="162"/>
      <c r="Q13" s="164"/>
      <c r="R13" s="164"/>
      <c r="S13" s="164"/>
      <c r="T13" s="165"/>
      <c r="W13" s="162"/>
      <c r="X13" s="164"/>
      <c r="Y13" s="164"/>
      <c r="Z13" s="164"/>
      <c r="AA13" s="165"/>
    </row>
    <row r="14" spans="2:27" x14ac:dyDescent="0.2">
      <c r="B14" s="162" t="str">
        <f>F4</f>
        <v>Costa Rica</v>
      </c>
      <c r="C14" s="163"/>
      <c r="D14" s="164"/>
      <c r="E14" s="163"/>
      <c r="F14" s="165" t="str">
        <f>B6</f>
        <v>Polonia</v>
      </c>
      <c r="G14" s="162"/>
      <c r="H14" s="162"/>
      <c r="I14" s="162" t="str">
        <f>M4</f>
        <v>Paraguay</v>
      </c>
      <c r="J14" s="163"/>
      <c r="K14" s="164"/>
      <c r="L14" s="163"/>
      <c r="M14" s="165" t="str">
        <f>I6</f>
        <v>T y Tobago</v>
      </c>
      <c r="N14" s="162"/>
      <c r="O14" s="162"/>
      <c r="P14" s="162" t="str">
        <f>T4</f>
        <v>C. De Marfil</v>
      </c>
      <c r="Q14" s="163"/>
      <c r="R14" s="164"/>
      <c r="S14" s="163"/>
      <c r="T14" s="165" t="str">
        <f>P6</f>
        <v>Serbia y M.</v>
      </c>
      <c r="W14" s="162" t="str">
        <f>AA4</f>
        <v>Iran</v>
      </c>
      <c r="X14" s="163"/>
      <c r="Y14" s="164"/>
      <c r="Z14" s="163"/>
      <c r="AA14" s="165" t="str">
        <f>W6</f>
        <v>Angola</v>
      </c>
    </row>
    <row r="15" spans="2:27" ht="5.0999999999999996" customHeight="1" x14ac:dyDescent="0.2"/>
    <row r="16" spans="2:27" x14ac:dyDescent="0.2">
      <c r="B16" s="207" t="s">
        <v>118</v>
      </c>
      <c r="C16" s="207"/>
      <c r="D16" s="207"/>
      <c r="E16" s="207"/>
      <c r="F16" s="207"/>
      <c r="I16" s="207" t="s">
        <v>119</v>
      </c>
      <c r="J16" s="207"/>
      <c r="K16" s="207"/>
      <c r="L16" s="207"/>
      <c r="M16" s="207"/>
      <c r="P16" s="207" t="s">
        <v>120</v>
      </c>
      <c r="Q16" s="207"/>
      <c r="R16" s="207"/>
      <c r="S16" s="207"/>
      <c r="T16" s="207"/>
      <c r="W16" s="207" t="s">
        <v>121</v>
      </c>
      <c r="X16" s="207"/>
      <c r="Y16" s="207"/>
      <c r="Z16" s="207"/>
      <c r="AA16" s="207"/>
    </row>
    <row r="17" spans="2:27" ht="4.5" customHeight="1" x14ac:dyDescent="0.2"/>
    <row r="18" spans="2:27" x14ac:dyDescent="0.2">
      <c r="B18" s="162" t="s">
        <v>72</v>
      </c>
      <c r="C18" s="163"/>
      <c r="D18" s="164"/>
      <c r="E18" s="163"/>
      <c r="F18" s="165" t="s">
        <v>73</v>
      </c>
      <c r="G18" s="162"/>
      <c r="H18" s="162"/>
      <c r="I18" s="162" t="s">
        <v>78</v>
      </c>
      <c r="J18" s="163"/>
      <c r="K18" s="164"/>
      <c r="L18" s="163"/>
      <c r="M18" s="165" t="s">
        <v>79</v>
      </c>
      <c r="N18" s="162"/>
      <c r="O18" s="162"/>
      <c r="P18" s="162" t="s">
        <v>83</v>
      </c>
      <c r="Q18" s="163"/>
      <c r="R18" s="164"/>
      <c r="S18" s="163"/>
      <c r="T18" s="165" t="s">
        <v>84</v>
      </c>
      <c r="W18" s="162" t="s">
        <v>88</v>
      </c>
      <c r="X18" s="163"/>
      <c r="Y18" s="164"/>
      <c r="Z18" s="163"/>
      <c r="AA18" s="165" t="s">
        <v>89</v>
      </c>
    </row>
    <row r="19" spans="2:27" ht="4.5" customHeight="1" x14ac:dyDescent="0.2">
      <c r="B19" s="162"/>
      <c r="C19" s="164"/>
      <c r="D19" s="164"/>
      <c r="E19" s="164"/>
      <c r="F19" s="165"/>
      <c r="G19" s="162"/>
      <c r="H19" s="162"/>
      <c r="I19" s="162"/>
      <c r="J19" s="164"/>
      <c r="K19" s="164"/>
      <c r="L19" s="164"/>
      <c r="M19" s="165"/>
      <c r="N19" s="162"/>
      <c r="O19" s="162"/>
      <c r="P19" s="162"/>
      <c r="Q19" s="164"/>
      <c r="R19" s="164"/>
      <c r="S19" s="164"/>
      <c r="T19" s="165"/>
      <c r="W19" s="162"/>
      <c r="X19" s="164"/>
      <c r="Y19" s="164"/>
      <c r="Z19" s="164"/>
      <c r="AA19" s="165"/>
    </row>
    <row r="20" spans="2:27" x14ac:dyDescent="0.2">
      <c r="B20" s="162" t="s">
        <v>122</v>
      </c>
      <c r="C20" s="163"/>
      <c r="D20" s="164"/>
      <c r="E20" s="163"/>
      <c r="F20" s="165" t="s">
        <v>123</v>
      </c>
      <c r="G20" s="162"/>
      <c r="H20" s="162"/>
      <c r="I20" s="162" t="s">
        <v>80</v>
      </c>
      <c r="J20" s="163"/>
      <c r="K20" s="164"/>
      <c r="L20" s="163"/>
      <c r="M20" s="165" t="s">
        <v>81</v>
      </c>
      <c r="N20" s="162"/>
      <c r="O20" s="162"/>
      <c r="P20" s="162" t="s">
        <v>124</v>
      </c>
      <c r="Q20" s="163"/>
      <c r="R20" s="164"/>
      <c r="S20" s="163"/>
      <c r="T20" s="165" t="s">
        <v>86</v>
      </c>
      <c r="W20" s="162" t="s">
        <v>90</v>
      </c>
      <c r="X20" s="163"/>
      <c r="Y20" s="164"/>
      <c r="Z20" s="163"/>
      <c r="AA20" s="165" t="s">
        <v>125</v>
      </c>
    </row>
    <row r="21" spans="2:27" ht="4.5" customHeight="1" x14ac:dyDescent="0.2">
      <c r="B21" s="162"/>
      <c r="C21" s="164"/>
      <c r="D21" s="164"/>
      <c r="E21" s="164"/>
      <c r="F21" s="165"/>
      <c r="G21" s="162"/>
      <c r="H21" s="162"/>
      <c r="I21" s="162"/>
      <c r="J21" s="164"/>
      <c r="K21" s="164"/>
      <c r="L21" s="164"/>
      <c r="M21" s="165"/>
      <c r="N21" s="162"/>
      <c r="O21" s="162"/>
      <c r="P21" s="162"/>
      <c r="Q21" s="164"/>
      <c r="R21" s="164"/>
      <c r="S21" s="164"/>
      <c r="T21" s="165"/>
      <c r="W21" s="162"/>
      <c r="X21" s="164"/>
      <c r="Y21" s="164"/>
      <c r="Z21" s="164"/>
      <c r="AA21" s="165"/>
    </row>
    <row r="22" spans="2:27" x14ac:dyDescent="0.2">
      <c r="B22" s="162" t="str">
        <f>B18</f>
        <v>Italia</v>
      </c>
      <c r="C22" s="163"/>
      <c r="D22" s="164"/>
      <c r="E22" s="163"/>
      <c r="F22" s="165" t="str">
        <f>B20</f>
        <v>EEUU</v>
      </c>
      <c r="G22" s="162"/>
      <c r="H22" s="162"/>
      <c r="I22" s="162" t="str">
        <f>I18</f>
        <v>Brasil</v>
      </c>
      <c r="J22" s="163"/>
      <c r="K22" s="164"/>
      <c r="L22" s="163"/>
      <c r="M22" s="165" t="str">
        <f>I20</f>
        <v>Australia</v>
      </c>
      <c r="N22" s="162"/>
      <c r="O22" s="162"/>
      <c r="P22" s="162" t="str">
        <f>P18</f>
        <v>Francia</v>
      </c>
      <c r="Q22" s="163"/>
      <c r="R22" s="164"/>
      <c r="S22" s="163"/>
      <c r="T22" s="165" t="str">
        <f>P20</f>
        <v>Corea</v>
      </c>
      <c r="W22" s="162" t="str">
        <f>W18</f>
        <v>España</v>
      </c>
      <c r="X22" s="163"/>
      <c r="Y22" s="164"/>
      <c r="Z22" s="163"/>
      <c r="AA22" s="165" t="str">
        <f>W20</f>
        <v>Tunez</v>
      </c>
    </row>
    <row r="23" spans="2:27" ht="4.5" customHeight="1" x14ac:dyDescent="0.2">
      <c r="B23" s="162"/>
      <c r="C23" s="164"/>
      <c r="D23" s="164"/>
      <c r="E23" s="164"/>
      <c r="F23" s="165"/>
      <c r="G23" s="162"/>
      <c r="H23" s="162"/>
      <c r="I23" s="162"/>
      <c r="J23" s="164"/>
      <c r="K23" s="164"/>
      <c r="L23" s="164"/>
      <c r="M23" s="165"/>
      <c r="N23" s="162"/>
      <c r="O23" s="162"/>
      <c r="P23" s="162"/>
      <c r="Q23" s="164"/>
      <c r="R23" s="164"/>
      <c r="S23" s="164"/>
      <c r="T23" s="165"/>
      <c r="W23" s="162"/>
      <c r="X23" s="164"/>
      <c r="Y23" s="164"/>
      <c r="Z23" s="164"/>
      <c r="AA23" s="165"/>
    </row>
    <row r="24" spans="2:27" x14ac:dyDescent="0.2">
      <c r="B24" s="162" t="str">
        <f>F20</f>
        <v>Rep Checa</v>
      </c>
      <c r="C24" s="163"/>
      <c r="D24" s="164"/>
      <c r="E24" s="163"/>
      <c r="F24" s="165" t="str">
        <f>F18</f>
        <v>Ghana</v>
      </c>
      <c r="G24" s="162"/>
      <c r="H24" s="162"/>
      <c r="I24" s="162" t="str">
        <f>M20</f>
        <v>Japon</v>
      </c>
      <c r="J24" s="163"/>
      <c r="K24" s="164"/>
      <c r="L24" s="163"/>
      <c r="M24" s="165" t="str">
        <f>M18</f>
        <v>Croacia</v>
      </c>
      <c r="N24" s="162"/>
      <c r="O24" s="162"/>
      <c r="P24" s="162" t="str">
        <f>T20</f>
        <v>Togo</v>
      </c>
      <c r="Q24" s="163"/>
      <c r="R24" s="164"/>
      <c r="S24" s="163"/>
      <c r="T24" s="165" t="str">
        <f>T18</f>
        <v>Suiza</v>
      </c>
      <c r="W24" s="162" t="str">
        <f>AA20</f>
        <v>Arabia S.</v>
      </c>
      <c r="X24" s="163"/>
      <c r="Y24" s="164"/>
      <c r="Z24" s="163"/>
      <c r="AA24" s="165" t="str">
        <f>AA18</f>
        <v>Ucrania</v>
      </c>
    </row>
    <row r="25" spans="2:27" ht="4.5" customHeight="1" x14ac:dyDescent="0.2">
      <c r="B25" s="162"/>
      <c r="C25" s="164"/>
      <c r="D25" s="164"/>
      <c r="E25" s="164"/>
      <c r="F25" s="165"/>
      <c r="G25" s="162"/>
      <c r="H25" s="162"/>
      <c r="I25" s="162"/>
      <c r="J25" s="164"/>
      <c r="K25" s="164"/>
      <c r="L25" s="164"/>
      <c r="M25" s="165"/>
      <c r="N25" s="162"/>
      <c r="O25" s="162"/>
      <c r="P25" s="162"/>
      <c r="Q25" s="164"/>
      <c r="R25" s="164"/>
      <c r="S25" s="164"/>
      <c r="T25" s="165"/>
      <c r="W25" s="162"/>
      <c r="X25" s="164"/>
      <c r="Y25" s="164"/>
      <c r="Z25" s="164"/>
      <c r="AA25" s="165"/>
    </row>
    <row r="26" spans="2:27" x14ac:dyDescent="0.2">
      <c r="B26" s="162" t="str">
        <f>F20</f>
        <v>Rep Checa</v>
      </c>
      <c r="C26" s="163"/>
      <c r="D26" s="164"/>
      <c r="E26" s="163"/>
      <c r="F26" s="165" t="str">
        <f>B18</f>
        <v>Italia</v>
      </c>
      <c r="G26" s="162"/>
      <c r="H26" s="162"/>
      <c r="I26" s="162" t="str">
        <f>M20</f>
        <v>Japon</v>
      </c>
      <c r="J26" s="163"/>
      <c r="K26" s="164"/>
      <c r="L26" s="163"/>
      <c r="M26" s="165" t="str">
        <f>I18</f>
        <v>Brasil</v>
      </c>
      <c r="N26" s="162"/>
      <c r="O26" s="162"/>
      <c r="P26" s="162" t="str">
        <f>T20</f>
        <v>Togo</v>
      </c>
      <c r="Q26" s="163"/>
      <c r="R26" s="164"/>
      <c r="S26" s="163"/>
      <c r="T26" s="165" t="str">
        <f>P18</f>
        <v>Francia</v>
      </c>
      <c r="W26" s="162" t="str">
        <f>AA20</f>
        <v>Arabia S.</v>
      </c>
      <c r="X26" s="163"/>
      <c r="Y26" s="164"/>
      <c r="Z26" s="163"/>
      <c r="AA26" s="165" t="str">
        <f>W18</f>
        <v>España</v>
      </c>
    </row>
    <row r="27" spans="2:27" ht="4.5" customHeight="1" x14ac:dyDescent="0.2">
      <c r="B27" s="162"/>
      <c r="C27" s="164"/>
      <c r="D27" s="164"/>
      <c r="E27" s="164"/>
      <c r="F27" s="165"/>
      <c r="G27" s="162"/>
      <c r="H27" s="162"/>
      <c r="I27" s="162"/>
      <c r="J27" s="164"/>
      <c r="K27" s="164"/>
      <c r="L27" s="164"/>
      <c r="M27" s="165"/>
      <c r="N27" s="162"/>
      <c r="O27" s="162"/>
      <c r="P27" s="162"/>
      <c r="Q27" s="164"/>
      <c r="R27" s="164"/>
      <c r="S27" s="164"/>
      <c r="T27" s="165"/>
      <c r="W27" s="162"/>
      <c r="X27" s="164"/>
      <c r="Y27" s="164"/>
      <c r="Z27" s="164"/>
      <c r="AA27" s="165"/>
    </row>
    <row r="28" spans="2:27" x14ac:dyDescent="0.2">
      <c r="B28" s="162" t="str">
        <f>F18</f>
        <v>Ghana</v>
      </c>
      <c r="C28" s="163"/>
      <c r="D28" s="164"/>
      <c r="E28" s="163"/>
      <c r="F28" s="165" t="str">
        <f>B20</f>
        <v>EEUU</v>
      </c>
      <c r="G28" s="162"/>
      <c r="H28" s="162"/>
      <c r="I28" s="162" t="str">
        <f>M18</f>
        <v>Croacia</v>
      </c>
      <c r="J28" s="163"/>
      <c r="K28" s="164"/>
      <c r="L28" s="163"/>
      <c r="M28" s="165" t="str">
        <f>I20</f>
        <v>Australia</v>
      </c>
      <c r="N28" s="162"/>
      <c r="O28" s="162"/>
      <c r="P28" s="162" t="str">
        <f>T18</f>
        <v>Suiza</v>
      </c>
      <c r="Q28" s="163"/>
      <c r="R28" s="164"/>
      <c r="S28" s="163"/>
      <c r="T28" s="165" t="str">
        <f>P20</f>
        <v>Corea</v>
      </c>
      <c r="W28" s="162" t="str">
        <f>AA18</f>
        <v>Ucrania</v>
      </c>
      <c r="X28" s="163"/>
      <c r="Y28" s="164"/>
      <c r="Z28" s="163"/>
      <c r="AA28" s="165" t="str">
        <f>W20</f>
        <v>Tunez</v>
      </c>
    </row>
    <row r="29" spans="2:27" ht="9.75" customHeight="1" x14ac:dyDescent="0.2"/>
    <row r="30" spans="2:27" x14ac:dyDescent="0.2">
      <c r="B30" s="207" t="s">
        <v>11</v>
      </c>
      <c r="C30" s="207"/>
      <c r="D30" s="207"/>
      <c r="E30" s="207"/>
      <c r="F30" s="207"/>
      <c r="W30" s="166"/>
      <c r="X30" s="166"/>
      <c r="Y30" s="166"/>
      <c r="Z30" s="166"/>
      <c r="AA30" s="166"/>
    </row>
    <row r="31" spans="2:27" ht="4.5" customHeight="1" x14ac:dyDescent="0.2"/>
    <row r="32" spans="2:27" s="162" customFormat="1" ht="12.75" customHeight="1" x14ac:dyDescent="0.2">
      <c r="B32" s="208" t="s">
        <v>126</v>
      </c>
      <c r="C32" s="208"/>
      <c r="E32" s="208" t="s">
        <v>127</v>
      </c>
      <c r="F32" s="208"/>
      <c r="I32" s="207" t="s">
        <v>128</v>
      </c>
      <c r="J32" s="207"/>
      <c r="K32" s="207"/>
      <c r="L32" s="207"/>
      <c r="M32" s="207"/>
    </row>
    <row r="33" spans="2:30" s="162" customFormat="1" ht="6" customHeight="1" x14ac:dyDescent="0.2">
      <c r="B33" s="209"/>
      <c r="C33" s="210"/>
      <c r="D33" s="164"/>
      <c r="E33" s="210"/>
      <c r="F33" s="209"/>
      <c r="G33" s="167"/>
    </row>
    <row r="34" spans="2:30" s="162" customFormat="1" ht="6" customHeight="1" x14ac:dyDescent="0.2">
      <c r="B34" s="209"/>
      <c r="C34" s="210"/>
      <c r="D34" s="164"/>
      <c r="E34" s="210"/>
      <c r="F34" s="209"/>
      <c r="G34" s="168"/>
    </row>
    <row r="35" spans="2:30" s="162" customFormat="1" ht="6" customHeight="1" x14ac:dyDescent="0.2">
      <c r="B35" s="164"/>
      <c r="F35" s="164"/>
      <c r="G35" s="169"/>
      <c r="H35" s="167"/>
      <c r="I35" s="209"/>
      <c r="J35" s="210"/>
      <c r="K35" s="164"/>
      <c r="L35" s="210"/>
      <c r="M35" s="211"/>
      <c r="N35" s="167"/>
      <c r="AA35" s="170"/>
    </row>
    <row r="36" spans="2:30" s="162" customFormat="1" ht="6" customHeight="1" x14ac:dyDescent="0.2">
      <c r="B36" s="164"/>
      <c r="F36" s="164"/>
      <c r="G36" s="169"/>
      <c r="I36" s="209"/>
      <c r="J36" s="210"/>
      <c r="K36" s="164"/>
      <c r="L36" s="210"/>
      <c r="M36" s="211"/>
      <c r="N36" s="168"/>
    </row>
    <row r="37" spans="2:30" s="162" customFormat="1" ht="12.75" customHeight="1" x14ac:dyDescent="0.2">
      <c r="B37" s="208" t="s">
        <v>129</v>
      </c>
      <c r="C37" s="208"/>
      <c r="E37" s="208" t="s">
        <v>130</v>
      </c>
      <c r="F37" s="208"/>
      <c r="G37" s="169"/>
      <c r="N37" s="169"/>
      <c r="P37" s="207" t="s">
        <v>131</v>
      </c>
      <c r="Q37" s="207"/>
      <c r="R37" s="207"/>
      <c r="S37" s="207"/>
      <c r="T37" s="207"/>
    </row>
    <row r="38" spans="2:30" s="162" customFormat="1" ht="6" customHeight="1" x14ac:dyDescent="0.2">
      <c r="B38" s="209"/>
      <c r="C38" s="210"/>
      <c r="D38" s="164"/>
      <c r="E38" s="210"/>
      <c r="F38" s="211"/>
      <c r="G38" s="171"/>
      <c r="N38" s="169"/>
    </row>
    <row r="39" spans="2:30" s="162" customFormat="1" ht="6" customHeight="1" x14ac:dyDescent="0.2">
      <c r="B39" s="209"/>
      <c r="C39" s="210"/>
      <c r="D39" s="164"/>
      <c r="E39" s="210"/>
      <c r="F39" s="211"/>
      <c r="N39" s="169"/>
    </row>
    <row r="40" spans="2:30" s="162" customFormat="1" ht="6" customHeight="1" x14ac:dyDescent="0.2">
      <c r="B40" s="164"/>
      <c r="F40" s="164"/>
      <c r="N40" s="169"/>
      <c r="O40" s="167"/>
      <c r="P40" s="209"/>
      <c r="Q40" s="210"/>
      <c r="R40" s="164"/>
      <c r="S40" s="210"/>
      <c r="T40" s="211"/>
      <c r="U40" s="167"/>
    </row>
    <row r="41" spans="2:30" s="162" customFormat="1" ht="6" customHeight="1" x14ac:dyDescent="0.2">
      <c r="B41" s="164"/>
      <c r="F41" s="164"/>
      <c r="N41" s="169"/>
      <c r="P41" s="209"/>
      <c r="Q41" s="210"/>
      <c r="R41" s="164"/>
      <c r="S41" s="210"/>
      <c r="T41" s="211"/>
      <c r="U41" s="168"/>
    </row>
    <row r="42" spans="2:30" s="162" customFormat="1" ht="12.75" customHeight="1" x14ac:dyDescent="0.2">
      <c r="B42" s="208" t="s">
        <v>132</v>
      </c>
      <c r="C42" s="208"/>
      <c r="E42" s="208" t="s">
        <v>133</v>
      </c>
      <c r="F42" s="208"/>
      <c r="N42" s="169"/>
      <c r="U42" s="169"/>
    </row>
    <row r="43" spans="2:30" s="162" customFormat="1" ht="6" customHeight="1" x14ac:dyDescent="0.2">
      <c r="B43" s="209"/>
      <c r="C43" s="210"/>
      <c r="D43" s="164"/>
      <c r="E43" s="210"/>
      <c r="F43" s="211"/>
      <c r="G43" s="167"/>
      <c r="N43" s="169"/>
      <c r="U43" s="169"/>
    </row>
    <row r="44" spans="2:30" s="162" customFormat="1" ht="6" customHeight="1" x14ac:dyDescent="0.2">
      <c r="B44" s="209"/>
      <c r="C44" s="210"/>
      <c r="D44" s="164"/>
      <c r="E44" s="210"/>
      <c r="F44" s="211"/>
      <c r="G44" s="168"/>
      <c r="N44" s="169"/>
      <c r="U44" s="169"/>
    </row>
    <row r="45" spans="2:30" s="162" customFormat="1" ht="6" customHeight="1" x14ac:dyDescent="0.2">
      <c r="B45" s="164"/>
      <c r="F45" s="164"/>
      <c r="G45" s="169"/>
      <c r="H45" s="167"/>
      <c r="I45" s="209"/>
      <c r="J45" s="212"/>
      <c r="K45" s="172"/>
      <c r="L45" s="210"/>
      <c r="M45" s="211"/>
      <c r="N45" s="171"/>
      <c r="U45" s="169"/>
      <c r="W45" s="207" t="s">
        <v>134</v>
      </c>
      <c r="X45" s="207"/>
      <c r="Y45" s="207"/>
      <c r="Z45" s="207"/>
      <c r="AA45" s="207"/>
      <c r="AC45" s="213"/>
      <c r="AD45" s="213"/>
    </row>
    <row r="46" spans="2:30" s="162" customFormat="1" ht="6" customHeight="1" x14ac:dyDescent="0.2">
      <c r="B46" s="164"/>
      <c r="F46" s="164"/>
      <c r="G46" s="169"/>
      <c r="I46" s="209"/>
      <c r="J46" s="212"/>
      <c r="K46" s="164"/>
      <c r="L46" s="210"/>
      <c r="M46" s="211"/>
      <c r="U46" s="169"/>
      <c r="W46" s="207"/>
      <c r="X46" s="207"/>
      <c r="Y46" s="207"/>
      <c r="Z46" s="207"/>
      <c r="AA46" s="207"/>
      <c r="AC46" s="213"/>
      <c r="AD46" s="213"/>
    </row>
    <row r="47" spans="2:30" s="162" customFormat="1" ht="12.75" customHeight="1" x14ac:dyDescent="0.2">
      <c r="B47" s="208" t="s">
        <v>135</v>
      </c>
      <c r="C47" s="208"/>
      <c r="E47" s="208" t="s">
        <v>136</v>
      </c>
      <c r="F47" s="208"/>
      <c r="G47" s="169"/>
      <c r="U47" s="169"/>
      <c r="AC47" s="214" t="s">
        <v>110</v>
      </c>
      <c r="AD47" s="214"/>
    </row>
    <row r="48" spans="2:30" s="162" customFormat="1" ht="6" customHeight="1" x14ac:dyDescent="0.2">
      <c r="B48" s="209"/>
      <c r="C48" s="210"/>
      <c r="D48" s="164"/>
      <c r="E48" s="210"/>
      <c r="F48" s="211"/>
      <c r="G48" s="171"/>
      <c r="U48" s="169"/>
      <c r="V48" s="173"/>
      <c r="W48" s="209"/>
      <c r="X48" s="210"/>
      <c r="Y48" s="164"/>
      <c r="Z48" s="210"/>
      <c r="AA48" s="211"/>
      <c r="AB48" s="167"/>
      <c r="AC48" s="210"/>
      <c r="AD48" s="210"/>
    </row>
    <row r="49" spans="2:30" s="162" customFormat="1" ht="6" customHeight="1" x14ac:dyDescent="0.2">
      <c r="B49" s="209"/>
      <c r="C49" s="210"/>
      <c r="D49" s="164"/>
      <c r="E49" s="210"/>
      <c r="F49" s="211"/>
      <c r="U49" s="169"/>
      <c r="W49" s="209"/>
      <c r="X49" s="210"/>
      <c r="Y49" s="164"/>
      <c r="Z49" s="210"/>
      <c r="AA49" s="211"/>
      <c r="AC49" s="210"/>
      <c r="AD49" s="210"/>
    </row>
    <row r="50" spans="2:30" s="162" customFormat="1" ht="12.75" customHeight="1" x14ac:dyDescent="0.2">
      <c r="B50" s="164"/>
      <c r="F50" s="164"/>
      <c r="U50" s="169"/>
    </row>
    <row r="51" spans="2:30" s="162" customFormat="1" ht="12.75" customHeight="1" x14ac:dyDescent="0.2">
      <c r="B51" s="164"/>
      <c r="F51" s="164"/>
      <c r="U51" s="169"/>
      <c r="W51" s="207" t="s">
        <v>137</v>
      </c>
      <c r="X51" s="207"/>
      <c r="Y51" s="207"/>
      <c r="Z51" s="207"/>
      <c r="AA51" s="207"/>
    </row>
    <row r="52" spans="2:30" s="162" customFormat="1" ht="12.75" customHeight="1" x14ac:dyDescent="0.2">
      <c r="B52" s="208" t="s">
        <v>138</v>
      </c>
      <c r="C52" s="208"/>
      <c r="E52" s="208" t="s">
        <v>139</v>
      </c>
      <c r="F52" s="208"/>
      <c r="U52" s="169"/>
      <c r="W52" s="174"/>
      <c r="X52" s="174"/>
      <c r="Y52" s="174"/>
      <c r="Z52" s="174"/>
      <c r="AA52" s="174"/>
    </row>
    <row r="53" spans="2:30" s="162" customFormat="1" ht="6" customHeight="1" x14ac:dyDescent="0.2">
      <c r="B53" s="209"/>
      <c r="C53" s="210"/>
      <c r="D53" s="164"/>
      <c r="E53" s="210"/>
      <c r="F53" s="211"/>
      <c r="G53" s="167"/>
      <c r="U53" s="169"/>
      <c r="V53" s="173"/>
      <c r="W53" s="209"/>
      <c r="X53" s="210"/>
      <c r="Y53" s="164"/>
      <c r="Z53" s="210"/>
      <c r="AA53" s="211"/>
    </row>
    <row r="54" spans="2:30" s="162" customFormat="1" ht="6" customHeight="1" x14ac:dyDescent="0.2">
      <c r="B54" s="209"/>
      <c r="C54" s="210"/>
      <c r="D54" s="164"/>
      <c r="E54" s="210"/>
      <c r="F54" s="211"/>
      <c r="G54" s="168"/>
      <c r="U54" s="169"/>
      <c r="W54" s="209"/>
      <c r="X54" s="210"/>
      <c r="Y54" s="164"/>
      <c r="Z54" s="210"/>
      <c r="AA54" s="211"/>
    </row>
    <row r="55" spans="2:30" s="162" customFormat="1" ht="6" customHeight="1" x14ac:dyDescent="0.2">
      <c r="B55" s="164"/>
      <c r="F55" s="164"/>
      <c r="G55" s="169"/>
      <c r="H55" s="167"/>
      <c r="I55" s="209"/>
      <c r="J55" s="210"/>
      <c r="K55" s="164"/>
      <c r="L55" s="210"/>
      <c r="M55" s="211"/>
      <c r="N55" s="167"/>
      <c r="U55" s="169"/>
    </row>
    <row r="56" spans="2:30" s="162" customFormat="1" ht="6" customHeight="1" x14ac:dyDescent="0.2">
      <c r="B56" s="164"/>
      <c r="F56" s="164"/>
      <c r="G56" s="169"/>
      <c r="I56" s="209"/>
      <c r="J56" s="210"/>
      <c r="K56" s="164"/>
      <c r="L56" s="210"/>
      <c r="M56" s="211"/>
      <c r="N56" s="168"/>
      <c r="U56" s="169"/>
    </row>
    <row r="57" spans="2:30" s="162" customFormat="1" ht="12.75" customHeight="1" x14ac:dyDescent="0.2">
      <c r="B57" s="208" t="s">
        <v>140</v>
      </c>
      <c r="C57" s="208"/>
      <c r="E57" s="208" t="s">
        <v>141</v>
      </c>
      <c r="F57" s="208"/>
      <c r="G57" s="169"/>
      <c r="N57" s="169"/>
      <c r="U57" s="169"/>
    </row>
    <row r="58" spans="2:30" s="162" customFormat="1" ht="6" customHeight="1" x14ac:dyDescent="0.2">
      <c r="B58" s="209"/>
      <c r="C58" s="210"/>
      <c r="D58" s="164"/>
      <c r="E58" s="210"/>
      <c r="F58" s="211"/>
      <c r="G58" s="171"/>
      <c r="N58" s="169"/>
      <c r="U58" s="169"/>
    </row>
    <row r="59" spans="2:30" s="162" customFormat="1" ht="6" customHeight="1" x14ac:dyDescent="0.2">
      <c r="B59" s="209"/>
      <c r="C59" s="210"/>
      <c r="D59" s="164"/>
      <c r="E59" s="210"/>
      <c r="F59" s="211"/>
      <c r="N59" s="169"/>
      <c r="U59" s="169"/>
    </row>
    <row r="60" spans="2:30" s="162" customFormat="1" ht="6" customHeight="1" x14ac:dyDescent="0.2">
      <c r="B60" s="164"/>
      <c r="F60" s="164"/>
      <c r="N60" s="169"/>
      <c r="O60" s="167"/>
      <c r="P60" s="209"/>
      <c r="Q60" s="210"/>
      <c r="R60" s="164"/>
      <c r="S60" s="210"/>
      <c r="T60" s="211"/>
      <c r="U60" s="171"/>
      <c r="AA60" s="215" t="s">
        <v>18</v>
      </c>
      <c r="AB60" s="215" t="s">
        <v>19</v>
      </c>
      <c r="AC60" s="215" t="s">
        <v>19</v>
      </c>
    </row>
    <row r="61" spans="2:30" s="162" customFormat="1" ht="6" customHeight="1" x14ac:dyDescent="0.2">
      <c r="B61" s="164"/>
      <c r="F61" s="164"/>
      <c r="N61" s="169"/>
      <c r="P61" s="209"/>
      <c r="Q61" s="210"/>
      <c r="R61" s="164"/>
      <c r="S61" s="210"/>
      <c r="T61" s="211"/>
      <c r="AA61" s="215" t="s">
        <v>19</v>
      </c>
      <c r="AB61" s="215" t="s">
        <v>19</v>
      </c>
      <c r="AC61" s="215" t="s">
        <v>19</v>
      </c>
    </row>
    <row r="62" spans="2:30" s="162" customFormat="1" ht="12.75" customHeight="1" x14ac:dyDescent="0.2">
      <c r="B62" s="208" t="s">
        <v>142</v>
      </c>
      <c r="C62" s="208"/>
      <c r="E62" s="208" t="s">
        <v>143</v>
      </c>
      <c r="F62" s="208"/>
      <c r="N62" s="169"/>
    </row>
    <row r="63" spans="2:30" s="162" customFormat="1" ht="6" customHeight="1" x14ac:dyDescent="0.2">
      <c r="B63" s="209"/>
      <c r="C63" s="210"/>
      <c r="D63" s="164"/>
      <c r="E63" s="210"/>
      <c r="F63" s="211"/>
      <c r="G63" s="167"/>
      <c r="N63" s="169"/>
    </row>
    <row r="64" spans="2:30" s="162" customFormat="1" ht="6" customHeight="1" x14ac:dyDescent="0.2">
      <c r="B64" s="209"/>
      <c r="C64" s="210"/>
      <c r="D64" s="164"/>
      <c r="E64" s="210"/>
      <c r="F64" s="211"/>
      <c r="G64" s="168"/>
      <c r="N64" s="169"/>
    </row>
    <row r="65" spans="2:14" s="162" customFormat="1" ht="6" customHeight="1" x14ac:dyDescent="0.2">
      <c r="B65" s="164"/>
      <c r="F65" s="164"/>
      <c r="G65" s="169"/>
      <c r="H65" s="167"/>
      <c r="I65" s="209"/>
      <c r="J65" s="210"/>
      <c r="K65" s="164"/>
      <c r="L65" s="210"/>
      <c r="M65" s="211"/>
      <c r="N65" s="171"/>
    </row>
    <row r="66" spans="2:14" s="162" customFormat="1" ht="6" customHeight="1" x14ac:dyDescent="0.2">
      <c r="B66" s="164"/>
      <c r="F66" s="164"/>
      <c r="G66" s="169"/>
      <c r="I66" s="209"/>
      <c r="J66" s="210"/>
      <c r="K66" s="164"/>
      <c r="L66" s="210"/>
      <c r="M66" s="211"/>
    </row>
    <row r="67" spans="2:14" s="162" customFormat="1" ht="12.75" customHeight="1" x14ac:dyDescent="0.2">
      <c r="B67" s="208" t="s">
        <v>144</v>
      </c>
      <c r="C67" s="208"/>
      <c r="E67" s="208" t="s">
        <v>145</v>
      </c>
      <c r="F67" s="208"/>
      <c r="G67" s="169"/>
    </row>
    <row r="68" spans="2:14" ht="6" customHeight="1" x14ac:dyDescent="0.2">
      <c r="B68" s="216"/>
      <c r="C68" s="217"/>
      <c r="D68" s="175"/>
      <c r="E68" s="217"/>
      <c r="F68" s="218"/>
      <c r="G68" s="176"/>
    </row>
    <row r="69" spans="2:14" ht="6" customHeight="1" x14ac:dyDescent="0.2">
      <c r="B69" s="216"/>
      <c r="C69" s="217"/>
      <c r="D69" s="175"/>
      <c r="E69" s="217"/>
      <c r="F69" s="218"/>
    </row>
  </sheetData>
  <sheetProtection sheet="1" objects="1" scenarios="1"/>
  <mergeCells count="97">
    <mergeCell ref="L65:L66"/>
    <mergeCell ref="M65:M66"/>
    <mergeCell ref="B67:C67"/>
    <mergeCell ref="E67:F67"/>
    <mergeCell ref="B68:B69"/>
    <mergeCell ref="C68:C69"/>
    <mergeCell ref="E68:E69"/>
    <mergeCell ref="F68:F69"/>
    <mergeCell ref="B63:B64"/>
    <mergeCell ref="C63:C64"/>
    <mergeCell ref="E63:E64"/>
    <mergeCell ref="F63:F64"/>
    <mergeCell ref="I65:I66"/>
    <mergeCell ref="J65:J66"/>
    <mergeCell ref="P60:P61"/>
    <mergeCell ref="Q60:Q61"/>
    <mergeCell ref="S60:S61"/>
    <mergeCell ref="T60:T61"/>
    <mergeCell ref="AA60:AC61"/>
    <mergeCell ref="B62:C62"/>
    <mergeCell ref="E62:F62"/>
    <mergeCell ref="B57:C57"/>
    <mergeCell ref="E57:F57"/>
    <mergeCell ref="B58:B59"/>
    <mergeCell ref="C58:C59"/>
    <mergeCell ref="E58:E59"/>
    <mergeCell ref="F58:F59"/>
    <mergeCell ref="X53:X54"/>
    <mergeCell ref="Z53:Z54"/>
    <mergeCell ref="AA53:AA54"/>
    <mergeCell ref="I55:I56"/>
    <mergeCell ref="J55:J56"/>
    <mergeCell ref="L55:L56"/>
    <mergeCell ref="M55:M56"/>
    <mergeCell ref="AA48:AA49"/>
    <mergeCell ref="AC48:AD49"/>
    <mergeCell ref="W51:AA51"/>
    <mergeCell ref="B52:C52"/>
    <mergeCell ref="E52:F52"/>
    <mergeCell ref="B53:B54"/>
    <mergeCell ref="C53:C54"/>
    <mergeCell ref="E53:E54"/>
    <mergeCell ref="F53:F54"/>
    <mergeCell ref="W53:W54"/>
    <mergeCell ref="B47:C47"/>
    <mergeCell ref="E47:F47"/>
    <mergeCell ref="AC47:AD47"/>
    <mergeCell ref="B48:B49"/>
    <mergeCell ref="C48:C49"/>
    <mergeCell ref="E48:E49"/>
    <mergeCell ref="F48:F49"/>
    <mergeCell ref="W48:W49"/>
    <mergeCell ref="X48:X49"/>
    <mergeCell ref="Z48:Z49"/>
    <mergeCell ref="I45:I46"/>
    <mergeCell ref="J45:J46"/>
    <mergeCell ref="L45:L46"/>
    <mergeCell ref="M45:M46"/>
    <mergeCell ref="W45:AA46"/>
    <mergeCell ref="AC45:AD46"/>
    <mergeCell ref="B42:C42"/>
    <mergeCell ref="E42:F42"/>
    <mergeCell ref="B43:B44"/>
    <mergeCell ref="C43:C44"/>
    <mergeCell ref="E43:E44"/>
    <mergeCell ref="F43:F44"/>
    <mergeCell ref="P37:T37"/>
    <mergeCell ref="B38:B39"/>
    <mergeCell ref="C38:C39"/>
    <mergeCell ref="E38:E39"/>
    <mergeCell ref="F38:F39"/>
    <mergeCell ref="P40:P41"/>
    <mergeCell ref="Q40:Q41"/>
    <mergeCell ref="S40:S41"/>
    <mergeCell ref="T40:T41"/>
    <mergeCell ref="I35:I36"/>
    <mergeCell ref="J35:J36"/>
    <mergeCell ref="L35:L36"/>
    <mergeCell ref="M35:M36"/>
    <mergeCell ref="B37:C37"/>
    <mergeCell ref="E37:F37"/>
    <mergeCell ref="B30:F30"/>
    <mergeCell ref="B32:C32"/>
    <mergeCell ref="E32:F32"/>
    <mergeCell ref="I32:M32"/>
    <mergeCell ref="B33:B34"/>
    <mergeCell ref="C33:C34"/>
    <mergeCell ref="E33:E34"/>
    <mergeCell ref="F33:F34"/>
    <mergeCell ref="B2:F2"/>
    <mergeCell ref="I2:M2"/>
    <mergeCell ref="P2:T2"/>
    <mergeCell ref="W2:AA2"/>
    <mergeCell ref="B16:F16"/>
    <mergeCell ref="I16:M16"/>
    <mergeCell ref="P16:T16"/>
    <mergeCell ref="W16:AA16"/>
  </mergeCells>
  <hyperlinks>
    <hyperlink ref="AA60" location="Portada!A1" display="Menu Principal"/>
    <hyperlink ref="AB60" location="Portada!A1" display="#Portada.A1"/>
    <hyperlink ref="AC60" location="Portada!A1" display="#Portada.A1"/>
    <hyperlink ref="AA61" location="Portada!A1" display="#Portada.A1"/>
    <hyperlink ref="AB61" location="Portada!A1" display="#Portada.A1"/>
    <hyperlink ref="AC61" location="Portada!A1" display="#Portada.A1"/>
  </hyperlinks>
  <printOptions horizontalCentered="1" verticalCentered="1"/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55"/>
  <sheetViews>
    <sheetView showGridLines="0" showRowColHeaders="0" showOutlineSymbols="0" workbookViewId="0">
      <pane xSplit="5" topLeftCell="F1" activePane="topRight" state="frozen"/>
      <selection pane="topRight"/>
    </sheetView>
  </sheetViews>
  <sheetFormatPr baseColWidth="10" defaultColWidth="3.7109375" defaultRowHeight="12.75" x14ac:dyDescent="0.2"/>
  <cols>
    <col min="1" max="1" width="9.140625" customWidth="1"/>
    <col min="2" max="2" width="2.7109375" customWidth="1"/>
    <col min="3" max="3" width="1.5703125" customWidth="1"/>
    <col min="4" max="4" width="2.7109375" customWidth="1"/>
    <col min="5" max="5" width="9.140625" customWidth="1"/>
    <col min="6" max="6" width="10.85546875" customWidth="1"/>
  </cols>
  <sheetData>
    <row r="2" spans="1:36" x14ac:dyDescent="0.2">
      <c r="A2" s="219" t="s">
        <v>146</v>
      </c>
      <c r="B2" s="219"/>
      <c r="C2" s="219"/>
      <c r="D2" s="219"/>
      <c r="E2" s="219"/>
      <c r="G2" t="str">
        <f>'Grupo H'!Q7</f>
        <v>España</v>
      </c>
      <c r="N2" t="str">
        <f>'Grupo H'!Q9</f>
        <v>Ucrania</v>
      </c>
      <c r="U2" t="str">
        <f>'Grupo H'!Q11</f>
        <v>Tunez</v>
      </c>
      <c r="AB2" t="str">
        <f>'Grupo H'!Q13</f>
        <v>Arabia Saudita</v>
      </c>
    </row>
    <row r="3" spans="1:36" x14ac:dyDescent="0.2">
      <c r="F3" t="s">
        <v>147</v>
      </c>
      <c r="G3" t="s">
        <v>148</v>
      </c>
      <c r="H3" t="s">
        <v>149</v>
      </c>
      <c r="I3" t="s">
        <v>150</v>
      </c>
      <c r="J3" t="s">
        <v>151</v>
      </c>
      <c r="K3" t="s">
        <v>152</v>
      </c>
      <c r="L3" t="s">
        <v>153</v>
      </c>
      <c r="N3" t="s">
        <v>148</v>
      </c>
      <c r="O3" t="s">
        <v>149</v>
      </c>
      <c r="P3" t="s">
        <v>150</v>
      </c>
      <c r="Q3" t="s">
        <v>151</v>
      </c>
      <c r="R3" t="s">
        <v>152</v>
      </c>
      <c r="S3" t="s">
        <v>153</v>
      </c>
      <c r="U3" t="s">
        <v>148</v>
      </c>
      <c r="V3" t="s">
        <v>149</v>
      </c>
      <c r="W3" t="s">
        <v>150</v>
      </c>
      <c r="X3" t="s">
        <v>151</v>
      </c>
      <c r="Y3" t="s">
        <v>152</v>
      </c>
      <c r="Z3" t="s">
        <v>153</v>
      </c>
      <c r="AB3" t="s">
        <v>148</v>
      </c>
      <c r="AC3" t="s">
        <v>149</v>
      </c>
      <c r="AD3" t="s">
        <v>150</v>
      </c>
      <c r="AE3" t="s">
        <v>151</v>
      </c>
      <c r="AF3" t="s">
        <v>152</v>
      </c>
      <c r="AG3" t="s">
        <v>153</v>
      </c>
    </row>
    <row r="4" spans="1:36" x14ac:dyDescent="0.2">
      <c r="A4" s="177" t="str">
        <f>'Grupo H'!B6</f>
        <v>España</v>
      </c>
      <c r="B4" s="178">
        <f>'Grupo H'!C6</f>
        <v>0</v>
      </c>
      <c r="C4" s="178" t="str">
        <f>'Grupo H'!D6</f>
        <v>-</v>
      </c>
      <c r="D4" s="178">
        <f>'Grupo H'!E6</f>
        <v>0</v>
      </c>
      <c r="E4" s="179" t="str">
        <f>'Grupo H'!F6</f>
        <v>Ucrania</v>
      </c>
      <c r="F4" s="178">
        <f>COUNTBLANK('Grupo H'!C6:E6)</f>
        <v>2</v>
      </c>
      <c r="G4" s="180">
        <f t="shared" ref="G4:G9" si="0">IF(AND(F4=0,OR($A4=$G$2,$E4=$G$2)),1,0)</f>
        <v>0</v>
      </c>
      <c r="H4" s="180">
        <f t="shared" ref="H4:H9" si="1">IF(AND(F4=0,OR(AND($A4=$G$2,$B4&gt;$D4),AND($E4=$G$2,$D4&gt;$B4))),1,0)</f>
        <v>0</v>
      </c>
      <c r="I4" s="180">
        <f t="shared" ref="I4:I9" si="2">IF(AND(F4=0,G4=1,$B4=$D4),1,0)</f>
        <v>0</v>
      </c>
      <c r="J4" s="180">
        <f t="shared" ref="J4:J9" si="3">IF(AND(F4=0,OR(AND($A4=$G$2,$B4&lt;$D4),AND($E4=$G$2,$D4&lt;$B4))),1,0)</f>
        <v>0</v>
      </c>
      <c r="K4" s="180">
        <f t="shared" ref="K4:K9" si="4">IF(F4&gt;0,0,IF($A4=$G$2,$B4,IF($E4=$G$2,$D4,0)))</f>
        <v>0</v>
      </c>
      <c r="L4" s="180">
        <f t="shared" ref="L4:L9" si="5">IF(F4&gt;0,0,IF($A4=$G$2,$D4,IF($E4=$G$2,$B4,0)))</f>
        <v>0</v>
      </c>
      <c r="N4" s="180">
        <f t="shared" ref="N4:N9" si="6">IF(AND(F4=0,OR($A4=$N$2,$E4=$N$2)),1,0)</f>
        <v>0</v>
      </c>
      <c r="O4" s="180">
        <f t="shared" ref="O4:O9" si="7">IF(AND(F4=0,OR(AND($A4=$N$2,$B4&gt;$D4),AND($E4=$N$2,$D4&gt;$B4))),1,0)</f>
        <v>0</v>
      </c>
      <c r="P4" s="180">
        <f t="shared" ref="P4:P9" si="8">IF(AND(F4=0,N4=1,$B4=$D4),1,0)</f>
        <v>0</v>
      </c>
      <c r="Q4" s="180">
        <f t="shared" ref="Q4:Q9" si="9">IF(AND(F4=0,OR(AND($A4=$N$2,$B4&lt;$D4),AND($E4=$N$2,$D4&lt;$B4))),1,0)</f>
        <v>0</v>
      </c>
      <c r="R4" s="180">
        <f t="shared" ref="R4:R9" si="10">IF(F4&gt;0,0,IF($A4=$N$2,$B4,IF($E4=$N$2,$D4,0)))</f>
        <v>0</v>
      </c>
      <c r="S4" s="180">
        <f t="shared" ref="S4:S9" si="11">IF(F4&gt;0,0,IF($A4=$N$2,$D4,IF($E4=$N$2,$B4,0)))</f>
        <v>0</v>
      </c>
      <c r="U4" s="180">
        <f t="shared" ref="U4:U9" si="12">IF(AND(F4=0,OR($A4=$U$2,$E4=$U$2)),1,0)</f>
        <v>0</v>
      </c>
      <c r="V4" s="180">
        <f t="shared" ref="V4:V9" si="13">IF(AND(F4=0,OR(AND($A4=$U$2,$B4&gt;$D4),AND($E4=$U$2,$D4&gt;$B4))),1,0)</f>
        <v>0</v>
      </c>
      <c r="W4" s="180">
        <f t="shared" ref="W4:W9" si="14">IF(AND(F4=0,U4=1,$B4=$D4),1,0)</f>
        <v>0</v>
      </c>
      <c r="X4" s="180">
        <f t="shared" ref="X4:X9" si="15">IF(AND(F4=0,OR(AND($A4=$U$2,$B4&lt;$D4),AND($E4=$U$2,$D4&lt;$B4))),1,0)</f>
        <v>0</v>
      </c>
      <c r="Y4" s="180">
        <f t="shared" ref="Y4:Y9" si="16">IF(F4&gt;0,0,IF($A4=$U$2,$B4,IF($E4=$U$2,$D4,0)))</f>
        <v>0</v>
      </c>
      <c r="Z4" s="180">
        <f t="shared" ref="Z4:Z9" si="17">IF(F4&gt;0,0,IF($A4=$U$2,$D4,IF($E4=$U$2,$B4,0)))</f>
        <v>0</v>
      </c>
      <c r="AB4" s="180">
        <f t="shared" ref="AB4:AB9" si="18">IF(AND(F4=0,OR($A4=$AB$2,$E4=$AB$2)),1,0)</f>
        <v>0</v>
      </c>
      <c r="AC4" s="180">
        <f t="shared" ref="AC4:AC9" si="19">IF(AND(F4=0,OR(AND($A4=$AB$2,$B4&gt;$D4),AND($E4=$AB$2,$D4&gt;$B4))),1,0)</f>
        <v>0</v>
      </c>
      <c r="AD4" s="180">
        <f t="shared" ref="AD4:AD9" si="20">IF(AND(F4=0,AB4=1,$B4=$D4),1,0)</f>
        <v>0</v>
      </c>
      <c r="AE4" s="180">
        <f t="shared" ref="AE4:AE9" si="21">IF(AND(F4=0,OR(AND($A4=$AB$2,$B4&lt;$D4),AND($E4=$AB$2,$D4&lt;$B4))),1,0)</f>
        <v>0</v>
      </c>
      <c r="AF4" s="180">
        <f t="shared" ref="AF4:AF9" si="22">IF(F4&gt;0,0,IF($A4=$AB$2,$B4,IF($E4=$AB$2,$D4,0)))</f>
        <v>0</v>
      </c>
      <c r="AG4" s="180">
        <f t="shared" ref="AG4:AG9" si="23">IF(F4&gt;0,0,IF($A4=$AB$2,$D4,IF($E4=$AB$2,$B4,0)))</f>
        <v>0</v>
      </c>
    </row>
    <row r="5" spans="1:36" x14ac:dyDescent="0.2">
      <c r="A5" s="177" t="str">
        <f>'Grupo H'!B7</f>
        <v>Tunez</v>
      </c>
      <c r="B5" s="178">
        <f>'Grupo H'!C7</f>
        <v>0</v>
      </c>
      <c r="C5" s="178" t="str">
        <f>'Grupo H'!D7</f>
        <v>-</v>
      </c>
      <c r="D5" s="178">
        <f>'Grupo H'!E7</f>
        <v>0</v>
      </c>
      <c r="E5" s="179" t="str">
        <f>'Grupo H'!F7</f>
        <v>Arabia Saudita</v>
      </c>
      <c r="F5" s="178">
        <f>COUNTBLANK('Grupo H'!C7:E7)</f>
        <v>2</v>
      </c>
      <c r="G5" s="180">
        <f t="shared" si="0"/>
        <v>0</v>
      </c>
      <c r="H5" s="180">
        <f t="shared" si="1"/>
        <v>0</v>
      </c>
      <c r="I5" s="180">
        <f t="shared" si="2"/>
        <v>0</v>
      </c>
      <c r="J5" s="180">
        <f t="shared" si="3"/>
        <v>0</v>
      </c>
      <c r="K5" s="180">
        <f t="shared" si="4"/>
        <v>0</v>
      </c>
      <c r="L5" s="180">
        <f t="shared" si="5"/>
        <v>0</v>
      </c>
      <c r="N5" s="180">
        <f t="shared" si="6"/>
        <v>0</v>
      </c>
      <c r="O5" s="180">
        <f t="shared" si="7"/>
        <v>0</v>
      </c>
      <c r="P5" s="180">
        <f t="shared" si="8"/>
        <v>0</v>
      </c>
      <c r="Q5" s="180">
        <f t="shared" si="9"/>
        <v>0</v>
      </c>
      <c r="R5" s="180">
        <f t="shared" si="10"/>
        <v>0</v>
      </c>
      <c r="S5" s="180">
        <f t="shared" si="11"/>
        <v>0</v>
      </c>
      <c r="U5" s="180">
        <f t="shared" si="12"/>
        <v>0</v>
      </c>
      <c r="V5" s="180">
        <f t="shared" si="13"/>
        <v>0</v>
      </c>
      <c r="W5" s="180">
        <f t="shared" si="14"/>
        <v>0</v>
      </c>
      <c r="X5" s="180">
        <f t="shared" si="15"/>
        <v>0</v>
      </c>
      <c r="Y5" s="180">
        <f t="shared" si="16"/>
        <v>0</v>
      </c>
      <c r="Z5" s="180">
        <f t="shared" si="17"/>
        <v>0</v>
      </c>
      <c r="AB5" s="180">
        <f t="shared" si="18"/>
        <v>0</v>
      </c>
      <c r="AC5" s="180">
        <f t="shared" si="19"/>
        <v>0</v>
      </c>
      <c r="AD5" s="180">
        <f t="shared" si="20"/>
        <v>0</v>
      </c>
      <c r="AE5" s="180">
        <f t="shared" si="21"/>
        <v>0</v>
      </c>
      <c r="AF5" s="180">
        <f t="shared" si="22"/>
        <v>0</v>
      </c>
      <c r="AG5" s="180">
        <f t="shared" si="23"/>
        <v>0</v>
      </c>
    </row>
    <row r="6" spans="1:36" x14ac:dyDescent="0.2">
      <c r="A6" s="177" t="str">
        <f>'Grupo H'!B8</f>
        <v>España</v>
      </c>
      <c r="B6" s="178">
        <f>'Grupo H'!C8</f>
        <v>0</v>
      </c>
      <c r="C6" s="178" t="str">
        <f>'Grupo H'!D8</f>
        <v>-</v>
      </c>
      <c r="D6" s="178">
        <f>'Grupo H'!E8</f>
        <v>0</v>
      </c>
      <c r="E6" s="179" t="str">
        <f>'Grupo H'!F8</f>
        <v>Tunez</v>
      </c>
      <c r="F6" s="178">
        <f>COUNTBLANK('Grupo H'!C8:E8)</f>
        <v>2</v>
      </c>
      <c r="G6" s="180">
        <f t="shared" si="0"/>
        <v>0</v>
      </c>
      <c r="H6" s="180">
        <f t="shared" si="1"/>
        <v>0</v>
      </c>
      <c r="I6" s="180">
        <f t="shared" si="2"/>
        <v>0</v>
      </c>
      <c r="J6" s="180">
        <f t="shared" si="3"/>
        <v>0</v>
      </c>
      <c r="K6" s="180">
        <f t="shared" si="4"/>
        <v>0</v>
      </c>
      <c r="L6" s="180">
        <f t="shared" si="5"/>
        <v>0</v>
      </c>
      <c r="N6" s="180">
        <f t="shared" si="6"/>
        <v>0</v>
      </c>
      <c r="O6" s="180">
        <f t="shared" si="7"/>
        <v>0</v>
      </c>
      <c r="P6" s="180">
        <f t="shared" si="8"/>
        <v>0</v>
      </c>
      <c r="Q6" s="180">
        <f t="shared" si="9"/>
        <v>0</v>
      </c>
      <c r="R6" s="180">
        <f t="shared" si="10"/>
        <v>0</v>
      </c>
      <c r="S6" s="180">
        <f t="shared" si="11"/>
        <v>0</v>
      </c>
      <c r="U6" s="180">
        <f t="shared" si="12"/>
        <v>0</v>
      </c>
      <c r="V6" s="180">
        <f t="shared" si="13"/>
        <v>0</v>
      </c>
      <c r="W6" s="180">
        <f t="shared" si="14"/>
        <v>0</v>
      </c>
      <c r="X6" s="180">
        <f t="shared" si="15"/>
        <v>0</v>
      </c>
      <c r="Y6" s="180">
        <f t="shared" si="16"/>
        <v>0</v>
      </c>
      <c r="Z6" s="180">
        <f t="shared" si="17"/>
        <v>0</v>
      </c>
      <c r="AB6" s="180">
        <f t="shared" si="18"/>
        <v>0</v>
      </c>
      <c r="AC6" s="180">
        <f t="shared" si="19"/>
        <v>0</v>
      </c>
      <c r="AD6" s="180">
        <f t="shared" si="20"/>
        <v>0</v>
      </c>
      <c r="AE6" s="180">
        <f t="shared" si="21"/>
        <v>0</v>
      </c>
      <c r="AF6" s="180">
        <f t="shared" si="22"/>
        <v>0</v>
      </c>
      <c r="AG6" s="180">
        <f t="shared" si="23"/>
        <v>0</v>
      </c>
    </row>
    <row r="7" spans="1:36" x14ac:dyDescent="0.2">
      <c r="A7" s="177" t="str">
        <f>'Grupo H'!B9</f>
        <v>Arabia Saudita</v>
      </c>
      <c r="B7" s="178">
        <f>'Grupo H'!C9</f>
        <v>0</v>
      </c>
      <c r="C7" s="178" t="str">
        <f>'Grupo H'!D9</f>
        <v>-</v>
      </c>
      <c r="D7" s="178">
        <f>'Grupo H'!E9</f>
        <v>0</v>
      </c>
      <c r="E7" s="179" t="str">
        <f>'Grupo H'!F9</f>
        <v>Ucrania</v>
      </c>
      <c r="F7" s="178">
        <f>COUNTBLANK('Grupo H'!C9:E9)</f>
        <v>2</v>
      </c>
      <c r="G7" s="180">
        <f t="shared" si="0"/>
        <v>0</v>
      </c>
      <c r="H7" s="180">
        <f t="shared" si="1"/>
        <v>0</v>
      </c>
      <c r="I7" s="180">
        <f t="shared" si="2"/>
        <v>0</v>
      </c>
      <c r="J7" s="180">
        <f t="shared" si="3"/>
        <v>0</v>
      </c>
      <c r="K7" s="180">
        <f t="shared" si="4"/>
        <v>0</v>
      </c>
      <c r="L7" s="180">
        <f t="shared" si="5"/>
        <v>0</v>
      </c>
      <c r="N7" s="180">
        <f t="shared" si="6"/>
        <v>0</v>
      </c>
      <c r="O7" s="180">
        <f t="shared" si="7"/>
        <v>0</v>
      </c>
      <c r="P7" s="180">
        <f t="shared" si="8"/>
        <v>0</v>
      </c>
      <c r="Q7" s="180">
        <f t="shared" si="9"/>
        <v>0</v>
      </c>
      <c r="R7" s="180">
        <f t="shared" si="10"/>
        <v>0</v>
      </c>
      <c r="S7" s="180">
        <f t="shared" si="11"/>
        <v>0</v>
      </c>
      <c r="U7" s="180">
        <f t="shared" si="12"/>
        <v>0</v>
      </c>
      <c r="V7" s="180">
        <f t="shared" si="13"/>
        <v>0</v>
      </c>
      <c r="W7" s="180">
        <f t="shared" si="14"/>
        <v>0</v>
      </c>
      <c r="X7" s="180">
        <f t="shared" si="15"/>
        <v>0</v>
      </c>
      <c r="Y7" s="180">
        <f t="shared" si="16"/>
        <v>0</v>
      </c>
      <c r="Z7" s="180">
        <f t="shared" si="17"/>
        <v>0</v>
      </c>
      <c r="AB7" s="180">
        <f t="shared" si="18"/>
        <v>0</v>
      </c>
      <c r="AC7" s="180">
        <f t="shared" si="19"/>
        <v>0</v>
      </c>
      <c r="AD7" s="180">
        <f t="shared" si="20"/>
        <v>0</v>
      </c>
      <c r="AE7" s="180">
        <f t="shared" si="21"/>
        <v>0</v>
      </c>
      <c r="AF7" s="180">
        <f t="shared" si="22"/>
        <v>0</v>
      </c>
      <c r="AG7" s="180">
        <f t="shared" si="23"/>
        <v>0</v>
      </c>
    </row>
    <row r="8" spans="1:36" x14ac:dyDescent="0.2">
      <c r="A8" s="177" t="str">
        <f>'Grupo H'!B10</f>
        <v>Arabia Saudita</v>
      </c>
      <c r="B8" s="178">
        <f>'Grupo H'!C10</f>
        <v>0</v>
      </c>
      <c r="C8" s="178" t="str">
        <f>'Grupo H'!D10</f>
        <v>-</v>
      </c>
      <c r="D8" s="178">
        <f>'Grupo H'!E10</f>
        <v>0</v>
      </c>
      <c r="E8" s="179" t="str">
        <f>'Grupo H'!F10</f>
        <v>España</v>
      </c>
      <c r="F8" s="178">
        <f>COUNTBLANK('Grupo H'!C10:E10)</f>
        <v>2</v>
      </c>
      <c r="G8" s="180">
        <f t="shared" si="0"/>
        <v>0</v>
      </c>
      <c r="H8" s="180">
        <f t="shared" si="1"/>
        <v>0</v>
      </c>
      <c r="I8" s="180">
        <f t="shared" si="2"/>
        <v>0</v>
      </c>
      <c r="J8" s="180">
        <f t="shared" si="3"/>
        <v>0</v>
      </c>
      <c r="K8" s="180">
        <f t="shared" si="4"/>
        <v>0</v>
      </c>
      <c r="L8" s="180">
        <f t="shared" si="5"/>
        <v>0</v>
      </c>
      <c r="N8" s="180">
        <f t="shared" si="6"/>
        <v>0</v>
      </c>
      <c r="O8" s="180">
        <f t="shared" si="7"/>
        <v>0</v>
      </c>
      <c r="P8" s="180">
        <f t="shared" si="8"/>
        <v>0</v>
      </c>
      <c r="Q8" s="180">
        <f t="shared" si="9"/>
        <v>0</v>
      </c>
      <c r="R8" s="180">
        <f t="shared" si="10"/>
        <v>0</v>
      </c>
      <c r="S8" s="180">
        <f t="shared" si="11"/>
        <v>0</v>
      </c>
      <c r="U8" s="180">
        <f t="shared" si="12"/>
        <v>0</v>
      </c>
      <c r="V8" s="180">
        <f t="shared" si="13"/>
        <v>0</v>
      </c>
      <c r="W8" s="180">
        <f t="shared" si="14"/>
        <v>0</v>
      </c>
      <c r="X8" s="180">
        <f t="shared" si="15"/>
        <v>0</v>
      </c>
      <c r="Y8" s="180">
        <f t="shared" si="16"/>
        <v>0</v>
      </c>
      <c r="Z8" s="180">
        <f t="shared" si="17"/>
        <v>0</v>
      </c>
      <c r="AB8" s="180">
        <f t="shared" si="18"/>
        <v>0</v>
      </c>
      <c r="AC8" s="180">
        <f t="shared" si="19"/>
        <v>0</v>
      </c>
      <c r="AD8" s="180">
        <f t="shared" si="20"/>
        <v>0</v>
      </c>
      <c r="AE8" s="180">
        <f t="shared" si="21"/>
        <v>0</v>
      </c>
      <c r="AF8" s="180">
        <f t="shared" si="22"/>
        <v>0</v>
      </c>
      <c r="AG8" s="180">
        <f t="shared" si="23"/>
        <v>0</v>
      </c>
    </row>
    <row r="9" spans="1:36" x14ac:dyDescent="0.2">
      <c r="A9" s="177" t="str">
        <f>'Grupo H'!B11</f>
        <v>Ucrania</v>
      </c>
      <c r="B9" s="178">
        <f>'Grupo H'!C11</f>
        <v>0</v>
      </c>
      <c r="C9" s="178" t="str">
        <f>'Grupo H'!D11</f>
        <v>-</v>
      </c>
      <c r="D9" s="178">
        <f>'Grupo H'!E11</f>
        <v>0</v>
      </c>
      <c r="E9" s="179" t="str">
        <f>'Grupo H'!F11</f>
        <v>Tunez</v>
      </c>
      <c r="F9" s="178">
        <f>COUNTBLANK('Grupo H'!C11:E11)</f>
        <v>2</v>
      </c>
      <c r="G9" s="180">
        <f t="shared" si="0"/>
        <v>0</v>
      </c>
      <c r="H9" s="180">
        <f t="shared" si="1"/>
        <v>0</v>
      </c>
      <c r="I9" s="180">
        <f t="shared" si="2"/>
        <v>0</v>
      </c>
      <c r="J9" s="180">
        <f t="shared" si="3"/>
        <v>0</v>
      </c>
      <c r="K9" s="180">
        <f t="shared" si="4"/>
        <v>0</v>
      </c>
      <c r="L9" s="180">
        <f t="shared" si="5"/>
        <v>0</v>
      </c>
      <c r="N9" s="180">
        <f t="shared" si="6"/>
        <v>0</v>
      </c>
      <c r="O9" s="180">
        <f t="shared" si="7"/>
        <v>0</v>
      </c>
      <c r="P9" s="180">
        <f t="shared" si="8"/>
        <v>0</v>
      </c>
      <c r="Q9" s="180">
        <f t="shared" si="9"/>
        <v>0</v>
      </c>
      <c r="R9" s="180">
        <f t="shared" si="10"/>
        <v>0</v>
      </c>
      <c r="S9" s="180">
        <f t="shared" si="11"/>
        <v>0</v>
      </c>
      <c r="U9" s="180">
        <f t="shared" si="12"/>
        <v>0</v>
      </c>
      <c r="V9" s="180">
        <f t="shared" si="13"/>
        <v>0</v>
      </c>
      <c r="W9" s="180">
        <f t="shared" si="14"/>
        <v>0</v>
      </c>
      <c r="X9" s="180">
        <f t="shared" si="15"/>
        <v>0</v>
      </c>
      <c r="Y9" s="180">
        <f t="shared" si="16"/>
        <v>0</v>
      </c>
      <c r="Z9" s="180">
        <f t="shared" si="17"/>
        <v>0</v>
      </c>
      <c r="AB9" s="180">
        <f t="shared" si="18"/>
        <v>0</v>
      </c>
      <c r="AC9" s="180">
        <f t="shared" si="19"/>
        <v>0</v>
      </c>
      <c r="AD9" s="180">
        <f t="shared" si="20"/>
        <v>0</v>
      </c>
      <c r="AE9" s="180">
        <f t="shared" si="21"/>
        <v>0</v>
      </c>
      <c r="AF9" s="180">
        <f t="shared" si="22"/>
        <v>0</v>
      </c>
      <c r="AG9" s="180">
        <f t="shared" si="23"/>
        <v>0</v>
      </c>
    </row>
    <row r="10" spans="1:36" x14ac:dyDescent="0.2">
      <c r="G10" s="180">
        <f t="shared" ref="G10:L10" si="24">SUM(G4:G9)</f>
        <v>0</v>
      </c>
      <c r="H10" s="180">
        <f t="shared" si="24"/>
        <v>0</v>
      </c>
      <c r="I10" s="180">
        <f t="shared" si="24"/>
        <v>0</v>
      </c>
      <c r="J10" s="180">
        <f t="shared" si="24"/>
        <v>0</v>
      </c>
      <c r="K10" s="180">
        <f t="shared" si="24"/>
        <v>0</v>
      </c>
      <c r="L10" s="180">
        <f t="shared" si="24"/>
        <v>0</v>
      </c>
      <c r="M10" s="180">
        <f>H10*3+I10</f>
        <v>0</v>
      </c>
      <c r="N10" s="180">
        <f t="shared" ref="N10:S10" si="25">SUM(N4:N9)</f>
        <v>0</v>
      </c>
      <c r="O10" s="180">
        <f t="shared" si="25"/>
        <v>0</v>
      </c>
      <c r="P10" s="180">
        <f t="shared" si="25"/>
        <v>0</v>
      </c>
      <c r="Q10" s="180">
        <f t="shared" si="25"/>
        <v>0</v>
      </c>
      <c r="R10" s="180">
        <f t="shared" si="25"/>
        <v>0</v>
      </c>
      <c r="S10" s="180">
        <f t="shared" si="25"/>
        <v>0</v>
      </c>
      <c r="T10" s="180">
        <f>O10*3+P10</f>
        <v>0</v>
      </c>
      <c r="U10" s="180">
        <f t="shared" ref="U10:Z10" si="26">SUM(U4:U9)</f>
        <v>0</v>
      </c>
      <c r="V10" s="180">
        <f t="shared" si="26"/>
        <v>0</v>
      </c>
      <c r="W10" s="180">
        <f t="shared" si="26"/>
        <v>0</v>
      </c>
      <c r="X10" s="180">
        <f t="shared" si="26"/>
        <v>0</v>
      </c>
      <c r="Y10" s="180">
        <f t="shared" si="26"/>
        <v>0</v>
      </c>
      <c r="Z10" s="180">
        <f t="shared" si="26"/>
        <v>0</v>
      </c>
      <c r="AA10" s="180">
        <f>V10*3+W10</f>
        <v>0</v>
      </c>
      <c r="AB10" s="180">
        <f t="shared" ref="AB10:AG10" si="27">SUM(AB4:AB9)</f>
        <v>0</v>
      </c>
      <c r="AC10" s="180">
        <f t="shared" si="27"/>
        <v>0</v>
      </c>
      <c r="AD10" s="180">
        <f t="shared" si="27"/>
        <v>0</v>
      </c>
      <c r="AE10" s="180">
        <f t="shared" si="27"/>
        <v>0</v>
      </c>
      <c r="AF10" s="180">
        <f t="shared" si="27"/>
        <v>0</v>
      </c>
      <c r="AG10" s="180">
        <f t="shared" si="27"/>
        <v>0</v>
      </c>
      <c r="AH10" s="180">
        <f>AC10*3+AD10</f>
        <v>0</v>
      </c>
    </row>
    <row r="14" spans="1:36" x14ac:dyDescent="0.2">
      <c r="F14" t="s">
        <v>154</v>
      </c>
    </row>
    <row r="15" spans="1:36" x14ac:dyDescent="0.2">
      <c r="G15" t="s">
        <v>148</v>
      </c>
      <c r="H15" t="s">
        <v>149</v>
      </c>
      <c r="I15" t="s">
        <v>150</v>
      </c>
      <c r="J15" t="s">
        <v>151</v>
      </c>
      <c r="K15" t="s">
        <v>152</v>
      </c>
      <c r="L15" t="s">
        <v>153</v>
      </c>
      <c r="M15" t="s">
        <v>155</v>
      </c>
      <c r="O15" t="s">
        <v>156</v>
      </c>
      <c r="S15" t="s">
        <v>157</v>
      </c>
      <c r="W15" t="s">
        <v>158</v>
      </c>
      <c r="AA15" t="s">
        <v>159</v>
      </c>
      <c r="AE15" t="s">
        <v>160</v>
      </c>
      <c r="AI15" t="s">
        <v>161</v>
      </c>
    </row>
    <row r="16" spans="1:36" x14ac:dyDescent="0.2">
      <c r="F16" t="str">
        <f>G2</f>
        <v>España</v>
      </c>
      <c r="G16" s="180">
        <f t="shared" ref="G16:M16" si="28">G10</f>
        <v>0</v>
      </c>
      <c r="H16" s="180">
        <f t="shared" si="28"/>
        <v>0</v>
      </c>
      <c r="I16" s="180">
        <f t="shared" si="28"/>
        <v>0</v>
      </c>
      <c r="J16" s="180">
        <f t="shared" si="28"/>
        <v>0</v>
      </c>
      <c r="K16" s="180">
        <f t="shared" si="28"/>
        <v>0</v>
      </c>
      <c r="L16" s="180">
        <f t="shared" si="28"/>
        <v>0</v>
      </c>
      <c r="M16" s="180">
        <f t="shared" si="28"/>
        <v>0</v>
      </c>
      <c r="O16" t="str">
        <f>IF($M16&gt;=$M17,$F16,$F17)</f>
        <v>España</v>
      </c>
      <c r="P16" s="180">
        <f>VLOOKUP(O16,$F$16:$M$25,8,FALSE)</f>
        <v>0</v>
      </c>
      <c r="S16" t="str">
        <f>IF($P16&gt;=$P18,$O16,$O18)</f>
        <v>España</v>
      </c>
      <c r="T16" s="180">
        <f>VLOOKUP(S16,$O$16:$P$25,2,FALSE)</f>
        <v>0</v>
      </c>
      <c r="W16" t="str">
        <f>IF($T16&gt;=$T19,$S16,$S19)</f>
        <v>España</v>
      </c>
      <c r="X16" s="180">
        <f>VLOOKUP(W16,$S$16:$T$25,2,FALSE)</f>
        <v>0</v>
      </c>
      <c r="AA16" t="str">
        <f>W16</f>
        <v>España</v>
      </c>
      <c r="AB16" s="180">
        <f>VLOOKUP(AA16,W16:X25,2,FALSE)</f>
        <v>0</v>
      </c>
      <c r="AE16" t="str">
        <f>AA16</f>
        <v>España</v>
      </c>
      <c r="AF16" s="180">
        <f>VLOOKUP(AE16,AA16:AB25,2,FALSE)</f>
        <v>0</v>
      </c>
      <c r="AI16" t="str">
        <f>AE16</f>
        <v>España</v>
      </c>
      <c r="AJ16" s="180">
        <f>VLOOKUP(AI16,AE16:AF25,2,FALSE)</f>
        <v>0</v>
      </c>
    </row>
    <row r="17" spans="6:37" x14ac:dyDescent="0.2">
      <c r="F17" t="str">
        <f>N2</f>
        <v>Ucrania</v>
      </c>
      <c r="G17" s="180">
        <f t="shared" ref="G17:M17" si="29">N10</f>
        <v>0</v>
      </c>
      <c r="H17" s="180">
        <f t="shared" si="29"/>
        <v>0</v>
      </c>
      <c r="I17" s="180">
        <f t="shared" si="29"/>
        <v>0</v>
      </c>
      <c r="J17" s="180">
        <f t="shared" si="29"/>
        <v>0</v>
      </c>
      <c r="K17" s="180">
        <f t="shared" si="29"/>
        <v>0</v>
      </c>
      <c r="L17" s="180">
        <f t="shared" si="29"/>
        <v>0</v>
      </c>
      <c r="M17" s="180">
        <f t="shared" si="29"/>
        <v>0</v>
      </c>
      <c r="O17" t="str">
        <f>IF($M17&lt;=$M16,$F17,$F16)</f>
        <v>Ucrania</v>
      </c>
      <c r="P17" s="180">
        <f>VLOOKUP(O17,$F$16:$M$25,8,FALSE)</f>
        <v>0</v>
      </c>
      <c r="S17" t="str">
        <f>O17</f>
        <v>Ucrania</v>
      </c>
      <c r="T17" s="180">
        <f>VLOOKUP(S17,$O$16:$P$25,2,FALSE)</f>
        <v>0</v>
      </c>
      <c r="W17" t="str">
        <f>S17</f>
        <v>Ucrania</v>
      </c>
      <c r="X17" s="180">
        <f>VLOOKUP(W17,$S$16:$T$25,2,FALSE)</f>
        <v>0</v>
      </c>
      <c r="AA17" t="str">
        <f>IF(X17&gt;=X18,W17,W18)</f>
        <v>Ucrania</v>
      </c>
      <c r="AB17" s="180">
        <f>VLOOKUP(AA17,W16:X25,2,FALSE)</f>
        <v>0</v>
      </c>
      <c r="AE17" t="str">
        <f>IF(AB17&gt;=AB19,AA17,AA19)</f>
        <v>Ucrania</v>
      </c>
      <c r="AF17" s="180">
        <f>VLOOKUP(AE17,AA16:AB25,2,FALSE)</f>
        <v>0</v>
      </c>
      <c r="AI17" t="str">
        <f>AE17</f>
        <v>Ucrania</v>
      </c>
      <c r="AJ17" s="180">
        <f>VLOOKUP(AI17,AE16:AF25,2,FALSE)</f>
        <v>0</v>
      </c>
    </row>
    <row r="18" spans="6:37" x14ac:dyDescent="0.2">
      <c r="F18" t="str">
        <f>U2</f>
        <v>Tunez</v>
      </c>
      <c r="G18" s="180">
        <f t="shared" ref="G18:M18" si="30">U10</f>
        <v>0</v>
      </c>
      <c r="H18" s="180">
        <f t="shared" si="30"/>
        <v>0</v>
      </c>
      <c r="I18" s="180">
        <f t="shared" si="30"/>
        <v>0</v>
      </c>
      <c r="J18" s="180">
        <f t="shared" si="30"/>
        <v>0</v>
      </c>
      <c r="K18" s="180">
        <f t="shared" si="30"/>
        <v>0</v>
      </c>
      <c r="L18" s="180">
        <f t="shared" si="30"/>
        <v>0</v>
      </c>
      <c r="M18" s="180">
        <f t="shared" si="30"/>
        <v>0</v>
      </c>
      <c r="O18" t="str">
        <f>F18</f>
        <v>Tunez</v>
      </c>
      <c r="P18" s="180">
        <f>VLOOKUP(O18,$F$16:$M$25,8,FALSE)</f>
        <v>0</v>
      </c>
      <c r="S18" t="str">
        <f>IF($P18&lt;=$P16,$O18,$O16)</f>
        <v>Tunez</v>
      </c>
      <c r="T18" s="180">
        <f>VLOOKUP(S18,$O$16:$P$25,2,FALSE)</f>
        <v>0</v>
      </c>
      <c r="W18" t="str">
        <f>S18</f>
        <v>Tunez</v>
      </c>
      <c r="X18" s="180">
        <f>VLOOKUP(W18,$S$16:$T$25,2,FALSE)</f>
        <v>0</v>
      </c>
      <c r="AA18" t="str">
        <f>IF(X18&lt;=X17,W18,W17)</f>
        <v>Tunez</v>
      </c>
      <c r="AB18" s="180">
        <f>VLOOKUP(AA18,W16:X25,2,FALSE)</f>
        <v>0</v>
      </c>
      <c r="AE18" t="str">
        <f>AA18</f>
        <v>Tunez</v>
      </c>
      <c r="AF18" s="180">
        <f>VLOOKUP(AE18,AA16:AB25,2,FALSE)</f>
        <v>0</v>
      </c>
      <c r="AI18" t="str">
        <f>IF(AF18&gt;=AF19,AE18,AE19)</f>
        <v>Tunez</v>
      </c>
      <c r="AJ18" s="180">
        <f>VLOOKUP(AI18,AE16:AF25,2,FALSE)</f>
        <v>0</v>
      </c>
    </row>
    <row r="19" spans="6:37" x14ac:dyDescent="0.2">
      <c r="F19" t="str">
        <f>AB2</f>
        <v>Arabia Saudita</v>
      </c>
      <c r="G19" s="180">
        <f t="shared" ref="G19:M19" si="31">AB10</f>
        <v>0</v>
      </c>
      <c r="H19" s="180">
        <f t="shared" si="31"/>
        <v>0</v>
      </c>
      <c r="I19" s="180">
        <f t="shared" si="31"/>
        <v>0</v>
      </c>
      <c r="J19" s="180">
        <f t="shared" si="31"/>
        <v>0</v>
      </c>
      <c r="K19" s="180">
        <f t="shared" si="31"/>
        <v>0</v>
      </c>
      <c r="L19" s="180">
        <f t="shared" si="31"/>
        <v>0</v>
      </c>
      <c r="M19" s="180">
        <f t="shared" si="31"/>
        <v>0</v>
      </c>
      <c r="O19" t="str">
        <f>F19</f>
        <v>Arabia Saudita</v>
      </c>
      <c r="P19" s="180">
        <f>VLOOKUP(O19,$F$16:$M$25,8,FALSE)</f>
        <v>0</v>
      </c>
      <c r="S19" t="str">
        <f>O19</f>
        <v>Arabia Saudita</v>
      </c>
      <c r="T19" s="180">
        <f>VLOOKUP(S19,$O$16:$P$25,2,FALSE)</f>
        <v>0</v>
      </c>
      <c r="W19" t="str">
        <f>IF($T19&lt;=$T16,$S19,$S16)</f>
        <v>Arabia Saudita</v>
      </c>
      <c r="X19" s="180">
        <f>VLOOKUP(W19,$S$16:$T$25,2,FALSE)</f>
        <v>0</v>
      </c>
      <c r="AA19" t="str">
        <f>W19</f>
        <v>Arabia Saudita</v>
      </c>
      <c r="AB19" s="180">
        <f>VLOOKUP(AA19,W16:X25,2,FALSE)</f>
        <v>0</v>
      </c>
      <c r="AE19" t="str">
        <f>IF(AB19&lt;=AB17,AA19,AA17)</f>
        <v>Arabia Saudita</v>
      </c>
      <c r="AF19" s="180">
        <f>VLOOKUP(AE19,AA16:AB25,2,FALSE)</f>
        <v>0</v>
      </c>
      <c r="AI19" t="str">
        <f>IF(AF19&lt;=AF18,AE19,AE18)</f>
        <v>Arabia Saudita</v>
      </c>
      <c r="AJ19" s="180">
        <f>VLOOKUP(AI19,AE16:AF25,2,FALSE)</f>
        <v>0</v>
      </c>
    </row>
    <row r="28" spans="6:37" x14ac:dyDescent="0.2">
      <c r="F28" t="str">
        <f>AI16</f>
        <v>España</v>
      </c>
      <c r="J28" s="180">
        <f>AJ16</f>
        <v>0</v>
      </c>
      <c r="K28" s="180">
        <f>VLOOKUP(AI16,$F$16:$M$25,6,FALSE)</f>
        <v>0</v>
      </c>
      <c r="L28" s="180">
        <f>VLOOKUP(AI16,$F$16:$M$25,7,FALSE)</f>
        <v>0</v>
      </c>
      <c r="M28" s="180">
        <f>K28-L28</f>
        <v>0</v>
      </c>
      <c r="O28" t="str">
        <f>IF(AND($J28=$J29,$M29&gt;$M28),$F29,$F28)</f>
        <v>España</v>
      </c>
      <c r="P28" s="180">
        <f>VLOOKUP(O28,$F$28:$M$37,5,FALSE)</f>
        <v>0</v>
      </c>
      <c r="Q28" s="180">
        <f>VLOOKUP(O28,$F$28:$M$37,8,FALSE)</f>
        <v>0</v>
      </c>
      <c r="S28" t="str">
        <f>IF(AND(P28=P30,Q30&gt;Q28),O30,O28)</f>
        <v>España</v>
      </c>
      <c r="T28" s="180">
        <f>VLOOKUP(S28,$O$28:$Q$37,2,FALSE)</f>
        <v>0</v>
      </c>
      <c r="U28" s="180">
        <f>VLOOKUP(S28,$O$28:$Q$37,3,FALSE)</f>
        <v>0</v>
      </c>
      <c r="W28" t="str">
        <f>IF(AND(T28=T31,U31&gt;U28),S31,S28)</f>
        <v>España</v>
      </c>
      <c r="X28" s="180">
        <f>VLOOKUP(W28,$S$28:$U$37,2,FALSE)</f>
        <v>0</v>
      </c>
      <c r="Y28" s="180">
        <f>VLOOKUP(W28,$S$28:$U$37,3,FALSE)</f>
        <v>0</v>
      </c>
      <c r="AA28" t="str">
        <f>W28</f>
        <v>España</v>
      </c>
      <c r="AB28" s="180">
        <f>VLOOKUP(AA28,W28:Y37,2,FALSE)</f>
        <v>0</v>
      </c>
      <c r="AC28" s="180">
        <f>VLOOKUP(AA28,W28:Y37,3,FALSE)</f>
        <v>0</v>
      </c>
      <c r="AE28" t="str">
        <f>AA28</f>
        <v>España</v>
      </c>
      <c r="AF28" s="180">
        <f>VLOOKUP(AE28,AA28:AC37,2,FALSE)</f>
        <v>0</v>
      </c>
      <c r="AG28" s="180">
        <f>VLOOKUP(AE28,AA28:AC37,3,FALSE)</f>
        <v>0</v>
      </c>
      <c r="AI28" t="str">
        <f>AE28</f>
        <v>España</v>
      </c>
      <c r="AJ28" s="180">
        <f>VLOOKUP(AI28,AE28:AG37,2,FALSE)</f>
        <v>0</v>
      </c>
      <c r="AK28" s="180">
        <f>VLOOKUP(AI28,AE28:AG37,3,FALSE)</f>
        <v>0</v>
      </c>
    </row>
    <row r="29" spans="6:37" x14ac:dyDescent="0.2">
      <c r="F29" t="str">
        <f>AI17</f>
        <v>Ucrania</v>
      </c>
      <c r="J29" s="180">
        <f>AJ17</f>
        <v>0</v>
      </c>
      <c r="K29" s="180">
        <f>VLOOKUP(AI17,$F$16:$M$25,6,FALSE)</f>
        <v>0</v>
      </c>
      <c r="L29" s="180">
        <f>VLOOKUP(AI17,$F$16:$M$25,7,FALSE)</f>
        <v>0</v>
      </c>
      <c r="M29" s="180">
        <f>K29-L29</f>
        <v>0</v>
      </c>
      <c r="O29" t="str">
        <f>IF(AND($J28=$J29,$M29&gt;$M28),$F28,$F29)</f>
        <v>Ucrania</v>
      </c>
      <c r="P29" s="180">
        <f>VLOOKUP(O29,$F$28:$M$37,5,FALSE)</f>
        <v>0</v>
      </c>
      <c r="Q29" s="180">
        <f>VLOOKUP(O29,$F$28:$M$37,8,FALSE)</f>
        <v>0</v>
      </c>
      <c r="S29" t="str">
        <f>O29</f>
        <v>Ucrania</v>
      </c>
      <c r="T29" s="180">
        <f>VLOOKUP(S29,$O$28:$Q$37,2,FALSE)</f>
        <v>0</v>
      </c>
      <c r="U29" s="180">
        <f>VLOOKUP(S29,$O$28:$Q$37,3,FALSE)</f>
        <v>0</v>
      </c>
      <c r="W29" t="str">
        <f>S29</f>
        <v>Ucrania</v>
      </c>
      <c r="X29" s="180">
        <f>VLOOKUP(W29,$S$28:$U$37,2,FALSE)</f>
        <v>0</v>
      </c>
      <c r="Y29" s="180">
        <f>VLOOKUP(W29,$S$28:$U$37,3,FALSE)</f>
        <v>0</v>
      </c>
      <c r="AA29" t="str">
        <f>IF(AND(X29=X30,Y30&gt;Y29),W30,W29)</f>
        <v>Ucrania</v>
      </c>
      <c r="AB29" s="180">
        <f>VLOOKUP(AA29,W28:Y37,2,FALSE)</f>
        <v>0</v>
      </c>
      <c r="AC29" s="180">
        <f>VLOOKUP(AA29,W28:Y37,3,FALSE)</f>
        <v>0</v>
      </c>
      <c r="AE29" t="str">
        <f>IF(AND(AB29=AB31,AC31&gt;AC29),AA31,AA29)</f>
        <v>Ucrania</v>
      </c>
      <c r="AF29" s="180">
        <f>VLOOKUP(AE29,AA28:AC37,2,FALSE)</f>
        <v>0</v>
      </c>
      <c r="AG29" s="180">
        <f>VLOOKUP(AE29,AA28:AC37,3,FALSE)</f>
        <v>0</v>
      </c>
      <c r="AI29" t="str">
        <f>AE29</f>
        <v>Ucrania</v>
      </c>
      <c r="AJ29" s="180">
        <f>VLOOKUP(AI29,AE28:AG37,2,FALSE)</f>
        <v>0</v>
      </c>
      <c r="AK29" s="180">
        <f>VLOOKUP(AI29,AE28:AG37,3,FALSE)</f>
        <v>0</v>
      </c>
    </row>
    <row r="30" spans="6:37" x14ac:dyDescent="0.2">
      <c r="F30" t="str">
        <f>AI18</f>
        <v>Tunez</v>
      </c>
      <c r="J30" s="180">
        <f>AJ18</f>
        <v>0</v>
      </c>
      <c r="K30" s="180">
        <f>VLOOKUP(AI18,$F$16:$M$25,6,FALSE)</f>
        <v>0</v>
      </c>
      <c r="L30" s="180">
        <f>VLOOKUP(AI18,$F$16:$M$25,7,FALSE)</f>
        <v>0</v>
      </c>
      <c r="M30" s="180">
        <f>K30-L30</f>
        <v>0</v>
      </c>
      <c r="O30" t="str">
        <f>F30</f>
        <v>Tunez</v>
      </c>
      <c r="P30" s="180">
        <f>VLOOKUP(O30,$F$28:$M$37,5,FALSE)</f>
        <v>0</v>
      </c>
      <c r="Q30" s="180">
        <f>VLOOKUP(O30,$F$28:$M$37,8,FALSE)</f>
        <v>0</v>
      </c>
      <c r="S30" t="str">
        <f>IF(AND($P28=P30,Q30&gt;Q28),O28,O30)</f>
        <v>Tunez</v>
      </c>
      <c r="T30" s="180">
        <f>VLOOKUP(S30,$O$28:$Q$37,2,FALSE)</f>
        <v>0</v>
      </c>
      <c r="U30" s="180">
        <f>VLOOKUP(S30,$O$28:$Q$37,3,FALSE)</f>
        <v>0</v>
      </c>
      <c r="W30" t="str">
        <f>S30</f>
        <v>Tunez</v>
      </c>
      <c r="X30" s="180">
        <f>VLOOKUP(W30,$S$28:$U$37,2,FALSE)</f>
        <v>0</v>
      </c>
      <c r="Y30" s="180">
        <f>VLOOKUP(W30,$S$28:$U$37,3,FALSE)</f>
        <v>0</v>
      </c>
      <c r="AA30" t="str">
        <f>IF(AND(X29=X30,Y30&gt;Y29),W29,W30)</f>
        <v>Tunez</v>
      </c>
      <c r="AB30" s="180">
        <f>VLOOKUP(AA30,W28:Y37,2,FALSE)</f>
        <v>0</v>
      </c>
      <c r="AC30" s="180">
        <f>VLOOKUP(AA30,W28:Y37,3,FALSE)</f>
        <v>0</v>
      </c>
      <c r="AE30" t="str">
        <f>AA30</f>
        <v>Tunez</v>
      </c>
      <c r="AF30" s="180">
        <f>VLOOKUP(AE30,AA28:AC37,2,FALSE)</f>
        <v>0</v>
      </c>
      <c r="AG30" s="180">
        <f>VLOOKUP(AE30,AA28:AC37,3,FALSE)</f>
        <v>0</v>
      </c>
      <c r="AI30" t="str">
        <f>IF(AND(AF30=AF31,AG31&gt;AG30),AE31,AE30)</f>
        <v>Tunez</v>
      </c>
      <c r="AJ30" s="180">
        <f>VLOOKUP(AI30,AE28:AG37,2,FALSE)</f>
        <v>0</v>
      </c>
      <c r="AK30" s="180">
        <f>VLOOKUP(AI30,AE28:AG37,3,FALSE)</f>
        <v>0</v>
      </c>
    </row>
    <row r="31" spans="6:37" x14ac:dyDescent="0.2">
      <c r="F31" t="str">
        <f>AI19</f>
        <v>Arabia Saudita</v>
      </c>
      <c r="J31" s="180">
        <f>AJ19</f>
        <v>0</v>
      </c>
      <c r="K31" s="180">
        <f>VLOOKUP(AI19,$F$16:$M$25,6,FALSE)</f>
        <v>0</v>
      </c>
      <c r="L31" s="180">
        <f>VLOOKUP(AI19,$F$16:$M$25,7,FALSE)</f>
        <v>0</v>
      </c>
      <c r="M31" s="180">
        <f>K31-L31</f>
        <v>0</v>
      </c>
      <c r="O31" t="str">
        <f>F31</f>
        <v>Arabia Saudita</v>
      </c>
      <c r="P31" s="180">
        <f>VLOOKUP(O31,$F$28:$M$37,5,FALSE)</f>
        <v>0</v>
      </c>
      <c r="Q31" s="180">
        <f>VLOOKUP(O31,$F$28:$M$37,8,FALSE)</f>
        <v>0</v>
      </c>
      <c r="S31" t="str">
        <f>O31</f>
        <v>Arabia Saudita</v>
      </c>
      <c r="T31" s="180">
        <f>VLOOKUP(S31,$O$28:$Q$37,2,FALSE)</f>
        <v>0</v>
      </c>
      <c r="U31" s="180">
        <f>VLOOKUP(S31,$O$28:$Q$37,3,FALSE)</f>
        <v>0</v>
      </c>
      <c r="W31" t="str">
        <f>IF(AND(T28=T31,U31&gt;U28),S28,S31)</f>
        <v>Arabia Saudita</v>
      </c>
      <c r="X31" s="180">
        <f>VLOOKUP(W31,$S$28:$U$37,2,FALSE)</f>
        <v>0</v>
      </c>
      <c r="Y31" s="180">
        <f>VLOOKUP(W31,$S$28:$U$37,3,FALSE)</f>
        <v>0</v>
      </c>
      <c r="AA31" t="str">
        <f>W31</f>
        <v>Arabia Saudita</v>
      </c>
      <c r="AB31" s="180">
        <f>VLOOKUP(AA31,W28:Y37,2,FALSE)</f>
        <v>0</v>
      </c>
      <c r="AC31" s="180">
        <f>VLOOKUP(AA31,W28:Y37,3,FALSE)</f>
        <v>0</v>
      </c>
      <c r="AE31" t="str">
        <f>IF(AND(AB29=AB31,AC31&gt;AC29),AA29,AA31)</f>
        <v>Arabia Saudita</v>
      </c>
      <c r="AF31" s="180">
        <f>VLOOKUP(AE31,AA28:AC37,2,FALSE)</f>
        <v>0</v>
      </c>
      <c r="AG31" s="180">
        <f>VLOOKUP(AE31,AA28:AC37,3,FALSE)</f>
        <v>0</v>
      </c>
      <c r="AI31" t="str">
        <f>IF(AND(AF30=AF31,AG31&gt;AG30),AE30,AE31)</f>
        <v>Arabia Saudita</v>
      </c>
      <c r="AJ31" s="180">
        <f>VLOOKUP(AI31,AE28:AG37,2,FALSE)</f>
        <v>0</v>
      </c>
      <c r="AK31" s="180">
        <f>VLOOKUP(AI31,AE28:AG37,3,FALSE)</f>
        <v>0</v>
      </c>
    </row>
    <row r="40" spans="6:38" x14ac:dyDescent="0.2">
      <c r="F40" t="str">
        <f>AI28</f>
        <v>España</v>
      </c>
      <c r="J40" s="180">
        <f>VLOOKUP(F40,$F$16:$M$25,8,FALSE)</f>
        <v>0</v>
      </c>
      <c r="K40" s="180">
        <f>VLOOKUP(F40,$F$16:$M$25,6,FALSE)</f>
        <v>0</v>
      </c>
      <c r="L40" s="180">
        <f>VLOOKUP(F40,$F$16:$M$25,7,FALSE)</f>
        <v>0</v>
      </c>
      <c r="M40" s="180">
        <f>K40-L40</f>
        <v>0</v>
      </c>
      <c r="O40" t="str">
        <f>IF(AND(J40=J41,M40=M41,K41&gt;K40),F41,F40)</f>
        <v>España</v>
      </c>
      <c r="P40" s="180">
        <f>VLOOKUP(O40,$F$40:$M$49,5,FALSE)</f>
        <v>0</v>
      </c>
      <c r="Q40" s="180">
        <f>VLOOKUP(O40,$F$40:$M$49,8,FALSE)</f>
        <v>0</v>
      </c>
      <c r="R40" s="180">
        <f>VLOOKUP(O40,$F$40:$M$49,6,FALSE)</f>
        <v>0</v>
      </c>
      <c r="S40" t="str">
        <f>IF(AND(P40=P42,Q40=Q42,R42&gt;R40),O42,O40)</f>
        <v>España</v>
      </c>
      <c r="T40" s="180">
        <f>VLOOKUP(S40,$O$40:$R$49,2,FALSE)</f>
        <v>0</v>
      </c>
      <c r="U40" s="180">
        <f>VLOOKUP(S40,$O$40:$R$49,3,FALSE)</f>
        <v>0</v>
      </c>
      <c r="V40" s="180">
        <f>VLOOKUP(S40,$O$40:$R$49,4,FALSE)</f>
        <v>0</v>
      </c>
      <c r="W40" t="str">
        <f>IF(AND(T40=T43,U40=U43,V43&gt;V40),S43,S40)</f>
        <v>España</v>
      </c>
      <c r="X40" s="180">
        <f>VLOOKUP(W40,$S$40:$V$49,2,FALSE)</f>
        <v>0</v>
      </c>
      <c r="Y40" s="180">
        <f>VLOOKUP(W40,$S$40:$V$49,3,FALSE)</f>
        <v>0</v>
      </c>
      <c r="Z40" s="180">
        <f>VLOOKUP(W40,$S$40:$V$49,4,FALSE)</f>
        <v>0</v>
      </c>
      <c r="AA40" t="str">
        <f>W40</f>
        <v>España</v>
      </c>
      <c r="AB40" s="180">
        <f>VLOOKUP(AA40,W40:Z49,2,FALSE)</f>
        <v>0</v>
      </c>
      <c r="AC40" s="180">
        <f>VLOOKUP(AA40,W40:Z49,3,FALSE)</f>
        <v>0</v>
      </c>
      <c r="AD40" s="180">
        <f>VLOOKUP(AA40,W40:Z49,4,FALSE)</f>
        <v>0</v>
      </c>
      <c r="AE40" t="str">
        <f>AA40</f>
        <v>España</v>
      </c>
      <c r="AF40" s="180">
        <f>VLOOKUP(AE40,AA40:AD49,2,FALSE)</f>
        <v>0</v>
      </c>
      <c r="AG40" s="180">
        <f>VLOOKUP(AE40,AA40:AD49,3,FALSE)</f>
        <v>0</v>
      </c>
      <c r="AH40" s="180">
        <f>VLOOKUP(AE40,AA40:AD49,4,FALSE)</f>
        <v>0</v>
      </c>
      <c r="AI40" t="str">
        <f>AE40</f>
        <v>España</v>
      </c>
      <c r="AJ40" s="180">
        <f>VLOOKUP(AI40,AE40:AH49,2,FALSE)</f>
        <v>0</v>
      </c>
      <c r="AK40" s="180">
        <f>VLOOKUP(AI40,AE40:AH49,3,FALSE)</f>
        <v>0</v>
      </c>
      <c r="AL40" s="180">
        <f>VLOOKUP(AI40,AE40:AH49,4,FALSE)</f>
        <v>0</v>
      </c>
    </row>
    <row r="41" spans="6:38" x14ac:dyDescent="0.2">
      <c r="F41" t="str">
        <f>AI29</f>
        <v>Ucrania</v>
      </c>
      <c r="J41" s="180">
        <f>VLOOKUP(F41,$F$16:$M$25,8,FALSE)</f>
        <v>0</v>
      </c>
      <c r="K41" s="180">
        <f>VLOOKUP(F41,$F$16:$M$25,6,FALSE)</f>
        <v>0</v>
      </c>
      <c r="L41" s="180">
        <f>VLOOKUP(F41,$F$16:$M$25,7,FALSE)</f>
        <v>0</v>
      </c>
      <c r="M41" s="180">
        <f>K41-L41</f>
        <v>0</v>
      </c>
      <c r="O41" t="str">
        <f>IF(AND(J40=J41,M40=M41,K41&gt;K40),F40,F41)</f>
        <v>Ucrania</v>
      </c>
      <c r="P41" s="180">
        <f>VLOOKUP(O41,$F$40:$M$49,5,FALSE)</f>
        <v>0</v>
      </c>
      <c r="Q41" s="180">
        <f>VLOOKUP(O41,$F$40:$M$49,8,FALSE)</f>
        <v>0</v>
      </c>
      <c r="R41" s="180">
        <f>VLOOKUP(O41,$F$40:$M$49,6,FALSE)</f>
        <v>0</v>
      </c>
      <c r="S41" t="str">
        <f>O41</f>
        <v>Ucrania</v>
      </c>
      <c r="T41" s="180">
        <f>VLOOKUP(S41,$O$40:$R$49,2,FALSE)</f>
        <v>0</v>
      </c>
      <c r="U41" s="180">
        <f>VLOOKUP(S41,$O$40:$R$49,3,FALSE)</f>
        <v>0</v>
      </c>
      <c r="V41" s="180">
        <f>VLOOKUP(S41,$O$40:$R$49,4,FALSE)</f>
        <v>0</v>
      </c>
      <c r="W41" t="str">
        <f>S41</f>
        <v>Ucrania</v>
      </c>
      <c r="X41" s="180">
        <f>VLOOKUP(W41,$S$40:$V$49,2,FALSE)</f>
        <v>0</v>
      </c>
      <c r="Y41" s="180">
        <f>VLOOKUP(W41,$S$40:$V$49,3,FALSE)</f>
        <v>0</v>
      </c>
      <c r="Z41" s="180">
        <f>VLOOKUP(W41,$S$40:$V$49,4,FALSE)</f>
        <v>0</v>
      </c>
      <c r="AA41" t="str">
        <f>IF(AND(X41=X42,Y41=Y42,Z42&gt;Z41),W42,W41)</f>
        <v>Ucrania</v>
      </c>
      <c r="AB41" s="180">
        <f>VLOOKUP(AA41,W40:Z49,2,FALSE)</f>
        <v>0</v>
      </c>
      <c r="AC41" s="180">
        <f>VLOOKUP(AA41,W40:Z49,3,FALSE)</f>
        <v>0</v>
      </c>
      <c r="AD41" s="180">
        <f>VLOOKUP(AA41,W40:Z49,4,FALSE)</f>
        <v>0</v>
      </c>
      <c r="AE41" t="str">
        <f>IF(AND(AB41=AB43,AC41=AC43,AD43&gt;AD41),AA43,AA41)</f>
        <v>Ucrania</v>
      </c>
      <c r="AF41" s="180">
        <f>VLOOKUP(AE41,AA40:AD49,2,FALSE)</f>
        <v>0</v>
      </c>
      <c r="AG41" s="180">
        <f>VLOOKUP(AE41,AA40:AD49,3,FALSE)</f>
        <v>0</v>
      </c>
      <c r="AH41" s="180">
        <f>VLOOKUP(AE41,AA40:AD49,4,FALSE)</f>
        <v>0</v>
      </c>
      <c r="AI41" t="str">
        <f>AE41</f>
        <v>Ucrania</v>
      </c>
      <c r="AJ41" s="180">
        <f>VLOOKUP(AI41,AE40:AH49,2,FALSE)</f>
        <v>0</v>
      </c>
      <c r="AK41" s="180">
        <f>VLOOKUP(AI41,AE40:AH49,3,FALSE)</f>
        <v>0</v>
      </c>
      <c r="AL41" s="180">
        <f>VLOOKUP(AI41,AE40:AH49,4,FALSE)</f>
        <v>0</v>
      </c>
    </row>
    <row r="42" spans="6:38" x14ac:dyDescent="0.2">
      <c r="F42" t="str">
        <f>AI30</f>
        <v>Tunez</v>
      </c>
      <c r="J42" s="180">
        <f>VLOOKUP(F42,$F$16:$M$25,8,FALSE)</f>
        <v>0</v>
      </c>
      <c r="K42" s="180">
        <f>VLOOKUP(F42,$F$16:$M$25,6,FALSE)</f>
        <v>0</v>
      </c>
      <c r="L42" s="180">
        <f>VLOOKUP(F42,$F$16:$M$25,7,FALSE)</f>
        <v>0</v>
      </c>
      <c r="M42" s="180">
        <f>K42-L42</f>
        <v>0</v>
      </c>
      <c r="O42" t="str">
        <f>F42</f>
        <v>Tunez</v>
      </c>
      <c r="P42" s="180">
        <f>VLOOKUP(O42,$F$40:$M$49,5,FALSE)</f>
        <v>0</v>
      </c>
      <c r="Q42" s="180">
        <f>VLOOKUP(O42,$F$40:$M$49,8,FALSE)</f>
        <v>0</v>
      </c>
      <c r="R42" s="180">
        <f>VLOOKUP(O42,$F$40:$M$49,6,FALSE)</f>
        <v>0</v>
      </c>
      <c r="S42" t="str">
        <f>IF(AND(P40=P42,Q40=Q42,R42&gt;R40),O40,O42)</f>
        <v>Tunez</v>
      </c>
      <c r="T42" s="180">
        <f>VLOOKUP(S42,$O$40:$R$49,2,FALSE)</f>
        <v>0</v>
      </c>
      <c r="U42" s="180">
        <f>VLOOKUP(S42,$O$40:$R$49,3,FALSE)</f>
        <v>0</v>
      </c>
      <c r="V42" s="180">
        <f>VLOOKUP(S42,$O$40:$R$49,4,FALSE)</f>
        <v>0</v>
      </c>
      <c r="W42" t="str">
        <f>S42</f>
        <v>Tunez</v>
      </c>
      <c r="X42" s="180">
        <f>VLOOKUP(W42,$S$40:$V$49,2,FALSE)</f>
        <v>0</v>
      </c>
      <c r="Y42" s="180">
        <f>VLOOKUP(W42,$S$40:$V$49,3,FALSE)</f>
        <v>0</v>
      </c>
      <c r="Z42" s="180">
        <f>VLOOKUP(W42,$S$40:$V$49,4,FALSE)</f>
        <v>0</v>
      </c>
      <c r="AA42" t="str">
        <f>IF(AND(X41=X42,Y41=Y42,Z42&gt;Z41),W41,W42)</f>
        <v>Tunez</v>
      </c>
      <c r="AB42" s="180">
        <f>VLOOKUP(AA42,W40:Z49,2,FALSE)</f>
        <v>0</v>
      </c>
      <c r="AC42" s="180">
        <f>VLOOKUP(AA42,W40:Z49,3,FALSE)</f>
        <v>0</v>
      </c>
      <c r="AD42" s="180">
        <f>VLOOKUP(AA42,W40:Z49,4,FALSE)</f>
        <v>0</v>
      </c>
      <c r="AE42" t="str">
        <f>AA42</f>
        <v>Tunez</v>
      </c>
      <c r="AF42" s="180">
        <f>VLOOKUP(AE42,AA40:AD49,2,FALSE)</f>
        <v>0</v>
      </c>
      <c r="AG42" s="180">
        <f>VLOOKUP(AE42,AA40:AD49,3,FALSE)</f>
        <v>0</v>
      </c>
      <c r="AH42" s="180">
        <f>VLOOKUP(AE42,AA40:AD49,4,FALSE)</f>
        <v>0</v>
      </c>
      <c r="AI42" t="str">
        <f>IF(AND(AF42=AF43,AG42=AG43,AH43&gt;AH42),AE43,AE42)</f>
        <v>Tunez</v>
      </c>
      <c r="AJ42" s="180">
        <f>VLOOKUP(AI42,AE40:AH49,2,FALSE)</f>
        <v>0</v>
      </c>
      <c r="AK42" s="180">
        <f>VLOOKUP(AI42,AE40:AH49,3,FALSE)</f>
        <v>0</v>
      </c>
      <c r="AL42" s="180">
        <f>VLOOKUP(AI42,AE40:AH49,4,FALSE)</f>
        <v>0</v>
      </c>
    </row>
    <row r="43" spans="6:38" x14ac:dyDescent="0.2">
      <c r="F43" t="str">
        <f>AI31</f>
        <v>Arabia Saudita</v>
      </c>
      <c r="J43" s="180">
        <f>VLOOKUP(F43,$F$16:$M$25,8,FALSE)</f>
        <v>0</v>
      </c>
      <c r="K43" s="180">
        <f>VLOOKUP(F43,$F$16:$M$25,6,FALSE)</f>
        <v>0</v>
      </c>
      <c r="L43" s="180">
        <f>VLOOKUP(F43,$F$16:$M$25,7,FALSE)</f>
        <v>0</v>
      </c>
      <c r="M43" s="180">
        <f>K43-L43</f>
        <v>0</v>
      </c>
      <c r="O43" t="str">
        <f>F43</f>
        <v>Arabia Saudita</v>
      </c>
      <c r="P43" s="180">
        <f>VLOOKUP(O43,$F$40:$M$49,5,FALSE)</f>
        <v>0</v>
      </c>
      <c r="Q43" s="180">
        <f>VLOOKUP(O43,$F$40:$M$49,8,FALSE)</f>
        <v>0</v>
      </c>
      <c r="R43" s="180">
        <f>VLOOKUP(O43,$F$40:$M$49,6,FALSE)</f>
        <v>0</v>
      </c>
      <c r="S43" t="str">
        <f>O43</f>
        <v>Arabia Saudita</v>
      </c>
      <c r="T43" s="180">
        <f>VLOOKUP(S43,$O$40:$R$49,2,FALSE)</f>
        <v>0</v>
      </c>
      <c r="U43" s="180">
        <f>VLOOKUP(S43,$O$40:$R$49,3,FALSE)</f>
        <v>0</v>
      </c>
      <c r="V43" s="180">
        <f>VLOOKUP(S43,$O$40:$R$49,4,FALSE)</f>
        <v>0</v>
      </c>
      <c r="W43" t="str">
        <f>IF(AND(T40=T43,U40=U43,V43&gt;V40),S40,S43)</f>
        <v>Arabia Saudita</v>
      </c>
      <c r="X43" s="180">
        <f>VLOOKUP(W43,$S$40:$V$49,2,FALSE)</f>
        <v>0</v>
      </c>
      <c r="Y43" s="180">
        <f>VLOOKUP(W43,$S$40:$V$49,3,FALSE)</f>
        <v>0</v>
      </c>
      <c r="Z43" s="180">
        <f>VLOOKUP(W43,$S$40:$V$49,4,FALSE)</f>
        <v>0</v>
      </c>
      <c r="AA43" t="str">
        <f>W43</f>
        <v>Arabia Saudita</v>
      </c>
      <c r="AB43" s="180">
        <f>VLOOKUP(AA43,W40:Z49,2,FALSE)</f>
        <v>0</v>
      </c>
      <c r="AC43" s="180">
        <f>VLOOKUP(AA43,W40:Z49,3,FALSE)</f>
        <v>0</v>
      </c>
      <c r="AD43" s="180">
        <f>VLOOKUP(AA43,W40:Z49,4,FALSE)</f>
        <v>0</v>
      </c>
      <c r="AE43" t="str">
        <f>IF(AND(AB41=AB43,AC41=AC43,AD43&gt;AD41),AA41,AA43)</f>
        <v>Arabia Saudita</v>
      </c>
      <c r="AF43" s="180">
        <f>VLOOKUP(AE43,AA40:AD49,2,FALSE)</f>
        <v>0</v>
      </c>
      <c r="AG43" s="180">
        <f>VLOOKUP(AE43,AA40:AD49,3,FALSE)</f>
        <v>0</v>
      </c>
      <c r="AH43" s="180">
        <f>VLOOKUP(AE43,AA40:AD49,4,FALSE)</f>
        <v>0</v>
      </c>
      <c r="AI43" t="str">
        <f>IF(AND(AF42=AF43,AG42=AG43,AH43&gt;AH42),AE42,AE43)</f>
        <v>Arabia Saudita</v>
      </c>
      <c r="AJ43" s="180">
        <f>VLOOKUP(AI43,AE40:AH49,2,FALSE)</f>
        <v>0</v>
      </c>
      <c r="AK43" s="180">
        <f>VLOOKUP(AI43,AE40:AH49,3,FALSE)</f>
        <v>0</v>
      </c>
      <c r="AL43" s="180">
        <f>VLOOKUP(AI43,AE40:AH49,4,FALSE)</f>
        <v>0</v>
      </c>
    </row>
    <row r="51" spans="6:13" x14ac:dyDescent="0.2">
      <c r="F51" t="s">
        <v>162</v>
      </c>
    </row>
    <row r="52" spans="6:13" x14ac:dyDescent="0.2">
      <c r="F52" t="str">
        <f>AI40</f>
        <v>España</v>
      </c>
      <c r="G52" s="180">
        <f>VLOOKUP(F52,$F$16:$M$25,2,FALSE)</f>
        <v>0</v>
      </c>
      <c r="H52" s="180">
        <f>VLOOKUP(F52,$F$16:$M$25,3,FALSE)</f>
        <v>0</v>
      </c>
      <c r="I52" s="180">
        <f>VLOOKUP(F52,$F$16:$M$25,4,FALSE)</f>
        <v>0</v>
      </c>
      <c r="J52" s="180">
        <f>VLOOKUP(F52,$F$16:$M$25,5,FALSE)</f>
        <v>0</v>
      </c>
      <c r="K52" s="180">
        <f>VLOOKUP(F52,$F$16:$M$25,6,FALSE)</f>
        <v>0</v>
      </c>
      <c r="L52" s="180">
        <f>VLOOKUP(F52,$F$16:$M$25,7,FALSE)</f>
        <v>0</v>
      </c>
      <c r="M52" s="180">
        <f>VLOOKUP(F52,$F$16:$M$25,8,FALSE)</f>
        <v>0</v>
      </c>
    </row>
    <row r="53" spans="6:13" x14ac:dyDescent="0.2">
      <c r="F53" t="str">
        <f>AI41</f>
        <v>Ucrania</v>
      </c>
      <c r="G53" s="180">
        <f>VLOOKUP(F53,$F$16:$M$25,2,FALSE)</f>
        <v>0</v>
      </c>
      <c r="H53" s="180">
        <f>VLOOKUP(F53,$F$16:$M$25,3,FALSE)</f>
        <v>0</v>
      </c>
      <c r="I53" s="180">
        <f>VLOOKUP(F53,$F$16:$M$25,4,FALSE)</f>
        <v>0</v>
      </c>
      <c r="J53" s="180">
        <f>VLOOKUP(F53,$F$16:$M$25,5,FALSE)</f>
        <v>0</v>
      </c>
      <c r="K53" s="180">
        <f>VLOOKUP(F53,$F$16:$M$25,6,FALSE)</f>
        <v>0</v>
      </c>
      <c r="L53" s="180">
        <f>VLOOKUP(F53,$F$16:$M$25,7,FALSE)</f>
        <v>0</v>
      </c>
      <c r="M53" s="180">
        <f>VLOOKUP(F53,$F$16:$M$25,8,FALSE)</f>
        <v>0</v>
      </c>
    </row>
    <row r="54" spans="6:13" x14ac:dyDescent="0.2">
      <c r="F54" t="str">
        <f>AI42</f>
        <v>Tunez</v>
      </c>
      <c r="G54" s="180">
        <f>VLOOKUP(F54,$F$16:$M$25,2,FALSE)</f>
        <v>0</v>
      </c>
      <c r="H54" s="180">
        <f>VLOOKUP(F54,$F$16:$M$25,3,FALSE)</f>
        <v>0</v>
      </c>
      <c r="I54" s="180">
        <f>VLOOKUP(F54,$F$16:$M$25,4,FALSE)</f>
        <v>0</v>
      </c>
      <c r="J54" s="180">
        <f>VLOOKUP(F54,$F$16:$M$25,5,FALSE)</f>
        <v>0</v>
      </c>
      <c r="K54" s="180">
        <f>VLOOKUP(F54,$F$16:$M$25,6,FALSE)</f>
        <v>0</v>
      </c>
      <c r="L54" s="180">
        <f>VLOOKUP(F54,$F$16:$M$25,7,FALSE)</f>
        <v>0</v>
      </c>
      <c r="M54" s="180">
        <f>VLOOKUP(F54,$F$16:$M$25,8,FALSE)</f>
        <v>0</v>
      </c>
    </row>
    <row r="55" spans="6:13" x14ac:dyDescent="0.2">
      <c r="F55" t="str">
        <f>AI43</f>
        <v>Arabia Saudita</v>
      </c>
      <c r="G55" s="180">
        <f>VLOOKUP(F55,$F$16:$M$25,2,FALSE)</f>
        <v>0</v>
      </c>
      <c r="H55" s="180">
        <f>VLOOKUP(F55,$F$16:$M$25,3,FALSE)</f>
        <v>0</v>
      </c>
      <c r="I55" s="180">
        <f>VLOOKUP(F55,$F$16:$M$25,4,FALSE)</f>
        <v>0</v>
      </c>
      <c r="J55" s="180">
        <f>VLOOKUP(F55,$F$16:$M$25,5,FALSE)</f>
        <v>0</v>
      </c>
      <c r="K55" s="180">
        <f>VLOOKUP(F55,$F$16:$M$25,6,FALSE)</f>
        <v>0</v>
      </c>
      <c r="L55" s="180">
        <f>VLOOKUP(F55,$F$16:$M$25,7,FALSE)</f>
        <v>0</v>
      </c>
      <c r="M55" s="180">
        <f>VLOOKUP(F55,$F$16:$M$25,8,FALSE)</f>
        <v>0</v>
      </c>
    </row>
  </sheetData>
  <mergeCells count="1">
    <mergeCell ref="A2:E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55"/>
  <sheetViews>
    <sheetView showGridLines="0" showRowColHeaders="0" showOutlineSymbols="0" workbookViewId="0">
      <pane xSplit="5" topLeftCell="F1" activePane="topRight" state="frozen"/>
      <selection pane="topRight"/>
    </sheetView>
  </sheetViews>
  <sheetFormatPr baseColWidth="10" defaultColWidth="3.7109375" defaultRowHeight="12.75" x14ac:dyDescent="0.2"/>
  <cols>
    <col min="1" max="1" width="9.140625" customWidth="1"/>
    <col min="2" max="2" width="2.7109375" customWidth="1"/>
    <col min="3" max="3" width="1.5703125" customWidth="1"/>
    <col min="4" max="4" width="2.7109375" customWidth="1"/>
    <col min="5" max="5" width="9.140625" customWidth="1"/>
    <col min="6" max="6" width="10.85546875" customWidth="1"/>
  </cols>
  <sheetData>
    <row r="2" spans="1:36" x14ac:dyDescent="0.2">
      <c r="A2" s="219" t="s">
        <v>146</v>
      </c>
      <c r="B2" s="219"/>
      <c r="C2" s="219"/>
      <c r="D2" s="219"/>
      <c r="E2" s="219"/>
      <c r="G2" t="str">
        <f>'Grupo G'!Q7</f>
        <v>Francia</v>
      </c>
      <c r="N2" t="str">
        <f>'Grupo G'!Q9</f>
        <v>Suiza</v>
      </c>
      <c r="U2" t="str">
        <f>'Grupo G'!Q11</f>
        <v>Corea del Sur</v>
      </c>
      <c r="AB2" t="str">
        <f>'Grupo G'!Q13</f>
        <v>Togo</v>
      </c>
    </row>
    <row r="3" spans="1:36" x14ac:dyDescent="0.2">
      <c r="F3" t="s">
        <v>147</v>
      </c>
      <c r="G3" t="s">
        <v>148</v>
      </c>
      <c r="H3" t="s">
        <v>149</v>
      </c>
      <c r="I3" t="s">
        <v>150</v>
      </c>
      <c r="J3" t="s">
        <v>151</v>
      </c>
      <c r="K3" t="s">
        <v>152</v>
      </c>
      <c r="L3" t="s">
        <v>153</v>
      </c>
      <c r="N3" t="s">
        <v>148</v>
      </c>
      <c r="O3" t="s">
        <v>149</v>
      </c>
      <c r="P3" t="s">
        <v>150</v>
      </c>
      <c r="Q3" t="s">
        <v>151</v>
      </c>
      <c r="R3" t="s">
        <v>152</v>
      </c>
      <c r="S3" t="s">
        <v>153</v>
      </c>
      <c r="U3" t="s">
        <v>148</v>
      </c>
      <c r="V3" t="s">
        <v>149</v>
      </c>
      <c r="W3" t="s">
        <v>150</v>
      </c>
      <c r="X3" t="s">
        <v>151</v>
      </c>
      <c r="Y3" t="s">
        <v>152</v>
      </c>
      <c r="Z3" t="s">
        <v>153</v>
      </c>
      <c r="AB3" t="s">
        <v>148</v>
      </c>
      <c r="AC3" t="s">
        <v>149</v>
      </c>
      <c r="AD3" t="s">
        <v>150</v>
      </c>
      <c r="AE3" t="s">
        <v>151</v>
      </c>
      <c r="AF3" t="s">
        <v>152</v>
      </c>
      <c r="AG3" t="s">
        <v>153</v>
      </c>
    </row>
    <row r="4" spans="1:36" x14ac:dyDescent="0.2">
      <c r="A4" s="177" t="str">
        <f>'Grupo G'!B6</f>
        <v>Francia</v>
      </c>
      <c r="B4" s="178">
        <f>'Grupo G'!C6</f>
        <v>0</v>
      </c>
      <c r="C4" s="178" t="str">
        <f>'Grupo G'!D6</f>
        <v>-</v>
      </c>
      <c r="D4" s="178">
        <f>'Grupo G'!E6</f>
        <v>0</v>
      </c>
      <c r="E4" s="179" t="str">
        <f>'Grupo G'!F6</f>
        <v>Suiza</v>
      </c>
      <c r="F4" s="178">
        <f>COUNTBLANK('Grupo G'!C6:E6)</f>
        <v>2</v>
      </c>
      <c r="G4" s="180">
        <f t="shared" ref="G4:G9" si="0">IF(AND(F4=0,OR($A4=$G$2,$E4=$G$2)),1,0)</f>
        <v>0</v>
      </c>
      <c r="H4" s="180">
        <f t="shared" ref="H4:H9" si="1">IF(AND(F4=0,OR(AND($A4=$G$2,$B4&gt;$D4),AND($E4=$G$2,$D4&gt;$B4))),1,0)</f>
        <v>0</v>
      </c>
      <c r="I4" s="180">
        <f t="shared" ref="I4:I9" si="2">IF(AND(F4=0,G4=1,$B4=$D4),1,0)</f>
        <v>0</v>
      </c>
      <c r="J4" s="180">
        <f t="shared" ref="J4:J9" si="3">IF(AND(F4=0,OR(AND($A4=$G$2,$B4&lt;$D4),AND($E4=$G$2,$D4&lt;$B4))),1,0)</f>
        <v>0</v>
      </c>
      <c r="K4" s="180">
        <f t="shared" ref="K4:K9" si="4">IF(F4&gt;0,0,IF($A4=$G$2,$B4,IF($E4=$G$2,$D4,0)))</f>
        <v>0</v>
      </c>
      <c r="L4" s="180">
        <f t="shared" ref="L4:L9" si="5">IF(F4&gt;0,0,IF($A4=$G$2,$D4,IF($E4=$G$2,$B4,0)))</f>
        <v>0</v>
      </c>
      <c r="N4" s="180">
        <f t="shared" ref="N4:N9" si="6">IF(AND(F4=0,OR($A4=$N$2,$E4=$N$2)),1,0)</f>
        <v>0</v>
      </c>
      <c r="O4" s="180">
        <f t="shared" ref="O4:O9" si="7">IF(AND(F4=0,OR(AND($A4=$N$2,$B4&gt;$D4),AND($E4=$N$2,$D4&gt;$B4))),1,0)</f>
        <v>0</v>
      </c>
      <c r="P4" s="180">
        <f t="shared" ref="P4:P9" si="8">IF(AND(F4=0,N4=1,$B4=$D4),1,0)</f>
        <v>0</v>
      </c>
      <c r="Q4" s="180">
        <f t="shared" ref="Q4:Q9" si="9">IF(AND(F4=0,OR(AND($A4=$N$2,$B4&lt;$D4),AND($E4=$N$2,$D4&lt;$B4))),1,0)</f>
        <v>0</v>
      </c>
      <c r="R4" s="180">
        <f t="shared" ref="R4:R9" si="10">IF(F4&gt;0,0,IF($A4=$N$2,$B4,IF($E4=$N$2,$D4,0)))</f>
        <v>0</v>
      </c>
      <c r="S4" s="180">
        <f t="shared" ref="S4:S9" si="11">IF(F4&gt;0,0,IF($A4=$N$2,$D4,IF($E4=$N$2,$B4,0)))</f>
        <v>0</v>
      </c>
      <c r="U4" s="180">
        <f t="shared" ref="U4:U9" si="12">IF(AND(F4=0,OR($A4=$U$2,$E4=$U$2)),1,0)</f>
        <v>0</v>
      </c>
      <c r="V4" s="180">
        <f t="shared" ref="V4:V9" si="13">IF(AND(F4=0,OR(AND($A4=$U$2,$B4&gt;$D4),AND($E4=$U$2,$D4&gt;$B4))),1,0)</f>
        <v>0</v>
      </c>
      <c r="W4" s="180">
        <f t="shared" ref="W4:W9" si="14">IF(AND(F4=0,U4=1,$B4=$D4),1,0)</f>
        <v>0</v>
      </c>
      <c r="X4" s="180">
        <f t="shared" ref="X4:X9" si="15">IF(AND(F4=0,OR(AND($A4=$U$2,$B4&lt;$D4),AND($E4=$U$2,$D4&lt;$B4))),1,0)</f>
        <v>0</v>
      </c>
      <c r="Y4" s="180">
        <f t="shared" ref="Y4:Y9" si="16">IF(F4&gt;0,0,IF($A4=$U$2,$B4,IF($E4=$U$2,$D4,0)))</f>
        <v>0</v>
      </c>
      <c r="Z4" s="180">
        <f t="shared" ref="Z4:Z9" si="17">IF(F4&gt;0,0,IF($A4=$U$2,$D4,IF($E4=$U$2,$B4,0)))</f>
        <v>0</v>
      </c>
      <c r="AB4" s="180">
        <f t="shared" ref="AB4:AB9" si="18">IF(AND(F4=0,OR($A4=$AB$2,$E4=$AB$2)),1,0)</f>
        <v>0</v>
      </c>
      <c r="AC4" s="180">
        <f t="shared" ref="AC4:AC9" si="19">IF(AND(F4=0,OR(AND($A4=$AB$2,$B4&gt;$D4),AND($E4=$AB$2,$D4&gt;$B4))),1,0)</f>
        <v>0</v>
      </c>
      <c r="AD4" s="180">
        <f t="shared" ref="AD4:AD9" si="20">IF(AND(F4=0,AB4=1,$B4=$D4),1,0)</f>
        <v>0</v>
      </c>
      <c r="AE4" s="180">
        <f t="shared" ref="AE4:AE9" si="21">IF(AND(F4=0,OR(AND($A4=$AB$2,$B4&lt;$D4),AND($E4=$AB$2,$D4&lt;$B4))),1,0)</f>
        <v>0</v>
      </c>
      <c r="AF4" s="180">
        <f t="shared" ref="AF4:AF9" si="22">IF(F4&gt;0,0,IF($A4=$AB$2,$B4,IF($E4=$AB$2,$D4,0)))</f>
        <v>0</v>
      </c>
      <c r="AG4" s="180">
        <f t="shared" ref="AG4:AG9" si="23">IF(F4&gt;0,0,IF($A4=$AB$2,$D4,IF($E4=$AB$2,$B4,0)))</f>
        <v>0</v>
      </c>
    </row>
    <row r="5" spans="1:36" x14ac:dyDescent="0.2">
      <c r="A5" s="177" t="str">
        <f>'Grupo G'!B7</f>
        <v>Corea del Sur</v>
      </c>
      <c r="B5" s="178">
        <f>'Grupo G'!C7</f>
        <v>0</v>
      </c>
      <c r="C5" s="178" t="str">
        <f>'Grupo G'!D7</f>
        <v>-</v>
      </c>
      <c r="D5" s="178">
        <f>'Grupo G'!E7</f>
        <v>0</v>
      </c>
      <c r="E5" s="179" t="str">
        <f>'Grupo G'!F7</f>
        <v>Togo</v>
      </c>
      <c r="F5" s="178">
        <f>COUNTBLANK('Grupo G'!C7:E7)</f>
        <v>2</v>
      </c>
      <c r="G5" s="180">
        <f t="shared" si="0"/>
        <v>0</v>
      </c>
      <c r="H5" s="180">
        <f t="shared" si="1"/>
        <v>0</v>
      </c>
      <c r="I5" s="180">
        <f t="shared" si="2"/>
        <v>0</v>
      </c>
      <c r="J5" s="180">
        <f t="shared" si="3"/>
        <v>0</v>
      </c>
      <c r="K5" s="180">
        <f t="shared" si="4"/>
        <v>0</v>
      </c>
      <c r="L5" s="180">
        <f t="shared" si="5"/>
        <v>0</v>
      </c>
      <c r="N5" s="180">
        <f t="shared" si="6"/>
        <v>0</v>
      </c>
      <c r="O5" s="180">
        <f t="shared" si="7"/>
        <v>0</v>
      </c>
      <c r="P5" s="180">
        <f t="shared" si="8"/>
        <v>0</v>
      </c>
      <c r="Q5" s="180">
        <f t="shared" si="9"/>
        <v>0</v>
      </c>
      <c r="R5" s="180">
        <f t="shared" si="10"/>
        <v>0</v>
      </c>
      <c r="S5" s="180">
        <f t="shared" si="11"/>
        <v>0</v>
      </c>
      <c r="U5" s="180">
        <f t="shared" si="12"/>
        <v>0</v>
      </c>
      <c r="V5" s="180">
        <f t="shared" si="13"/>
        <v>0</v>
      </c>
      <c r="W5" s="180">
        <f t="shared" si="14"/>
        <v>0</v>
      </c>
      <c r="X5" s="180">
        <f t="shared" si="15"/>
        <v>0</v>
      </c>
      <c r="Y5" s="180">
        <f t="shared" si="16"/>
        <v>0</v>
      </c>
      <c r="Z5" s="180">
        <f t="shared" si="17"/>
        <v>0</v>
      </c>
      <c r="AB5" s="180">
        <f t="shared" si="18"/>
        <v>0</v>
      </c>
      <c r="AC5" s="180">
        <f t="shared" si="19"/>
        <v>0</v>
      </c>
      <c r="AD5" s="180">
        <f t="shared" si="20"/>
        <v>0</v>
      </c>
      <c r="AE5" s="180">
        <f t="shared" si="21"/>
        <v>0</v>
      </c>
      <c r="AF5" s="180">
        <f t="shared" si="22"/>
        <v>0</v>
      </c>
      <c r="AG5" s="180">
        <f t="shared" si="23"/>
        <v>0</v>
      </c>
    </row>
    <row r="6" spans="1:36" x14ac:dyDescent="0.2">
      <c r="A6" s="177" t="str">
        <f>'Grupo G'!B8</f>
        <v>Francia</v>
      </c>
      <c r="B6" s="178">
        <f>'Grupo G'!C8</f>
        <v>0</v>
      </c>
      <c r="C6" s="178" t="str">
        <f>'Grupo G'!D8</f>
        <v>-</v>
      </c>
      <c r="D6" s="178">
        <f>'Grupo G'!E8</f>
        <v>0</v>
      </c>
      <c r="E6" s="179" t="str">
        <f>'Grupo G'!F8</f>
        <v>Corea del Sur</v>
      </c>
      <c r="F6" s="178">
        <f>COUNTBLANK('Grupo G'!C8:E8)</f>
        <v>2</v>
      </c>
      <c r="G6" s="180">
        <f t="shared" si="0"/>
        <v>0</v>
      </c>
      <c r="H6" s="180">
        <f t="shared" si="1"/>
        <v>0</v>
      </c>
      <c r="I6" s="180">
        <f t="shared" si="2"/>
        <v>0</v>
      </c>
      <c r="J6" s="180">
        <f t="shared" si="3"/>
        <v>0</v>
      </c>
      <c r="K6" s="180">
        <f t="shared" si="4"/>
        <v>0</v>
      </c>
      <c r="L6" s="180">
        <f t="shared" si="5"/>
        <v>0</v>
      </c>
      <c r="N6" s="180">
        <f t="shared" si="6"/>
        <v>0</v>
      </c>
      <c r="O6" s="180">
        <f t="shared" si="7"/>
        <v>0</v>
      </c>
      <c r="P6" s="180">
        <f t="shared" si="8"/>
        <v>0</v>
      </c>
      <c r="Q6" s="180">
        <f t="shared" si="9"/>
        <v>0</v>
      </c>
      <c r="R6" s="180">
        <f t="shared" si="10"/>
        <v>0</v>
      </c>
      <c r="S6" s="180">
        <f t="shared" si="11"/>
        <v>0</v>
      </c>
      <c r="U6" s="180">
        <f t="shared" si="12"/>
        <v>0</v>
      </c>
      <c r="V6" s="180">
        <f t="shared" si="13"/>
        <v>0</v>
      </c>
      <c r="W6" s="180">
        <f t="shared" si="14"/>
        <v>0</v>
      </c>
      <c r="X6" s="180">
        <f t="shared" si="15"/>
        <v>0</v>
      </c>
      <c r="Y6" s="180">
        <f t="shared" si="16"/>
        <v>0</v>
      </c>
      <c r="Z6" s="180">
        <f t="shared" si="17"/>
        <v>0</v>
      </c>
      <c r="AB6" s="180">
        <f t="shared" si="18"/>
        <v>0</v>
      </c>
      <c r="AC6" s="180">
        <f t="shared" si="19"/>
        <v>0</v>
      </c>
      <c r="AD6" s="180">
        <f t="shared" si="20"/>
        <v>0</v>
      </c>
      <c r="AE6" s="180">
        <f t="shared" si="21"/>
        <v>0</v>
      </c>
      <c r="AF6" s="180">
        <f t="shared" si="22"/>
        <v>0</v>
      </c>
      <c r="AG6" s="180">
        <f t="shared" si="23"/>
        <v>0</v>
      </c>
    </row>
    <row r="7" spans="1:36" x14ac:dyDescent="0.2">
      <c r="A7" s="177" t="str">
        <f>'Grupo G'!B9</f>
        <v>Togo</v>
      </c>
      <c r="B7" s="178">
        <f>'Grupo G'!C9</f>
        <v>0</v>
      </c>
      <c r="C7" s="178" t="str">
        <f>'Grupo G'!D9</f>
        <v>-</v>
      </c>
      <c r="D7" s="178">
        <f>'Grupo G'!E9</f>
        <v>0</v>
      </c>
      <c r="E7" s="179" t="str">
        <f>'Grupo G'!F9</f>
        <v>Suiza</v>
      </c>
      <c r="F7" s="178">
        <f>COUNTBLANK('Grupo G'!C9:E9)</f>
        <v>2</v>
      </c>
      <c r="G7" s="180">
        <f t="shared" si="0"/>
        <v>0</v>
      </c>
      <c r="H7" s="180">
        <f t="shared" si="1"/>
        <v>0</v>
      </c>
      <c r="I7" s="180">
        <f t="shared" si="2"/>
        <v>0</v>
      </c>
      <c r="J7" s="180">
        <f t="shared" si="3"/>
        <v>0</v>
      </c>
      <c r="K7" s="180">
        <f t="shared" si="4"/>
        <v>0</v>
      </c>
      <c r="L7" s="180">
        <f t="shared" si="5"/>
        <v>0</v>
      </c>
      <c r="N7" s="180">
        <f t="shared" si="6"/>
        <v>0</v>
      </c>
      <c r="O7" s="180">
        <f t="shared" si="7"/>
        <v>0</v>
      </c>
      <c r="P7" s="180">
        <f t="shared" si="8"/>
        <v>0</v>
      </c>
      <c r="Q7" s="180">
        <f t="shared" si="9"/>
        <v>0</v>
      </c>
      <c r="R7" s="180">
        <f t="shared" si="10"/>
        <v>0</v>
      </c>
      <c r="S7" s="180">
        <f t="shared" si="11"/>
        <v>0</v>
      </c>
      <c r="U7" s="180">
        <f t="shared" si="12"/>
        <v>0</v>
      </c>
      <c r="V7" s="180">
        <f t="shared" si="13"/>
        <v>0</v>
      </c>
      <c r="W7" s="180">
        <f t="shared" si="14"/>
        <v>0</v>
      </c>
      <c r="X7" s="180">
        <f t="shared" si="15"/>
        <v>0</v>
      </c>
      <c r="Y7" s="180">
        <f t="shared" si="16"/>
        <v>0</v>
      </c>
      <c r="Z7" s="180">
        <f t="shared" si="17"/>
        <v>0</v>
      </c>
      <c r="AB7" s="180">
        <f t="shared" si="18"/>
        <v>0</v>
      </c>
      <c r="AC7" s="180">
        <f t="shared" si="19"/>
        <v>0</v>
      </c>
      <c r="AD7" s="180">
        <f t="shared" si="20"/>
        <v>0</v>
      </c>
      <c r="AE7" s="180">
        <f t="shared" si="21"/>
        <v>0</v>
      </c>
      <c r="AF7" s="180">
        <f t="shared" si="22"/>
        <v>0</v>
      </c>
      <c r="AG7" s="180">
        <f t="shared" si="23"/>
        <v>0</v>
      </c>
    </row>
    <row r="8" spans="1:36" x14ac:dyDescent="0.2">
      <c r="A8" s="177" t="str">
        <f>'Grupo G'!B10</f>
        <v>Togo</v>
      </c>
      <c r="B8" s="178">
        <f>'Grupo G'!C10</f>
        <v>0</v>
      </c>
      <c r="C8" s="178" t="str">
        <f>'Grupo G'!D10</f>
        <v>-</v>
      </c>
      <c r="D8" s="178">
        <f>'Grupo G'!E10</f>
        <v>0</v>
      </c>
      <c r="E8" s="179" t="str">
        <f>'Grupo G'!F10</f>
        <v>Francia</v>
      </c>
      <c r="F8" s="178">
        <f>COUNTBLANK('Grupo G'!C10:E10)</f>
        <v>2</v>
      </c>
      <c r="G8" s="180">
        <f t="shared" si="0"/>
        <v>0</v>
      </c>
      <c r="H8" s="180">
        <f t="shared" si="1"/>
        <v>0</v>
      </c>
      <c r="I8" s="180">
        <f t="shared" si="2"/>
        <v>0</v>
      </c>
      <c r="J8" s="180">
        <f t="shared" si="3"/>
        <v>0</v>
      </c>
      <c r="K8" s="180">
        <f t="shared" si="4"/>
        <v>0</v>
      </c>
      <c r="L8" s="180">
        <f t="shared" si="5"/>
        <v>0</v>
      </c>
      <c r="N8" s="180">
        <f t="shared" si="6"/>
        <v>0</v>
      </c>
      <c r="O8" s="180">
        <f t="shared" si="7"/>
        <v>0</v>
      </c>
      <c r="P8" s="180">
        <f t="shared" si="8"/>
        <v>0</v>
      </c>
      <c r="Q8" s="180">
        <f t="shared" si="9"/>
        <v>0</v>
      </c>
      <c r="R8" s="180">
        <f t="shared" si="10"/>
        <v>0</v>
      </c>
      <c r="S8" s="180">
        <f t="shared" si="11"/>
        <v>0</v>
      </c>
      <c r="U8" s="180">
        <f t="shared" si="12"/>
        <v>0</v>
      </c>
      <c r="V8" s="180">
        <f t="shared" si="13"/>
        <v>0</v>
      </c>
      <c r="W8" s="180">
        <f t="shared" si="14"/>
        <v>0</v>
      </c>
      <c r="X8" s="180">
        <f t="shared" si="15"/>
        <v>0</v>
      </c>
      <c r="Y8" s="180">
        <f t="shared" si="16"/>
        <v>0</v>
      </c>
      <c r="Z8" s="180">
        <f t="shared" si="17"/>
        <v>0</v>
      </c>
      <c r="AB8" s="180">
        <f t="shared" si="18"/>
        <v>0</v>
      </c>
      <c r="AC8" s="180">
        <f t="shared" si="19"/>
        <v>0</v>
      </c>
      <c r="AD8" s="180">
        <f t="shared" si="20"/>
        <v>0</v>
      </c>
      <c r="AE8" s="180">
        <f t="shared" si="21"/>
        <v>0</v>
      </c>
      <c r="AF8" s="180">
        <f t="shared" si="22"/>
        <v>0</v>
      </c>
      <c r="AG8" s="180">
        <f t="shared" si="23"/>
        <v>0</v>
      </c>
    </row>
    <row r="9" spans="1:36" x14ac:dyDescent="0.2">
      <c r="A9" s="177" t="str">
        <f>'Grupo G'!B11</f>
        <v>Suiza</v>
      </c>
      <c r="B9" s="178">
        <f>'Grupo G'!C11</f>
        <v>0</v>
      </c>
      <c r="C9" s="178" t="str">
        <f>'Grupo G'!D11</f>
        <v>-</v>
      </c>
      <c r="D9" s="178">
        <f>'Grupo G'!E11</f>
        <v>0</v>
      </c>
      <c r="E9" s="179" t="str">
        <f>'Grupo G'!F11</f>
        <v>Corea del Sur</v>
      </c>
      <c r="F9" s="178">
        <f>COUNTBLANK('Grupo G'!C11:E11)</f>
        <v>2</v>
      </c>
      <c r="G9" s="180">
        <f t="shared" si="0"/>
        <v>0</v>
      </c>
      <c r="H9" s="180">
        <f t="shared" si="1"/>
        <v>0</v>
      </c>
      <c r="I9" s="180">
        <f t="shared" si="2"/>
        <v>0</v>
      </c>
      <c r="J9" s="180">
        <f t="shared" si="3"/>
        <v>0</v>
      </c>
      <c r="K9" s="180">
        <f t="shared" si="4"/>
        <v>0</v>
      </c>
      <c r="L9" s="180">
        <f t="shared" si="5"/>
        <v>0</v>
      </c>
      <c r="N9" s="180">
        <f t="shared" si="6"/>
        <v>0</v>
      </c>
      <c r="O9" s="180">
        <f t="shared" si="7"/>
        <v>0</v>
      </c>
      <c r="P9" s="180">
        <f t="shared" si="8"/>
        <v>0</v>
      </c>
      <c r="Q9" s="180">
        <f t="shared" si="9"/>
        <v>0</v>
      </c>
      <c r="R9" s="180">
        <f t="shared" si="10"/>
        <v>0</v>
      </c>
      <c r="S9" s="180">
        <f t="shared" si="11"/>
        <v>0</v>
      </c>
      <c r="U9" s="180">
        <f t="shared" si="12"/>
        <v>0</v>
      </c>
      <c r="V9" s="180">
        <f t="shared" si="13"/>
        <v>0</v>
      </c>
      <c r="W9" s="180">
        <f t="shared" si="14"/>
        <v>0</v>
      </c>
      <c r="X9" s="180">
        <f t="shared" si="15"/>
        <v>0</v>
      </c>
      <c r="Y9" s="180">
        <f t="shared" si="16"/>
        <v>0</v>
      </c>
      <c r="Z9" s="180">
        <f t="shared" si="17"/>
        <v>0</v>
      </c>
      <c r="AB9" s="180">
        <f t="shared" si="18"/>
        <v>0</v>
      </c>
      <c r="AC9" s="180">
        <f t="shared" si="19"/>
        <v>0</v>
      </c>
      <c r="AD9" s="180">
        <f t="shared" si="20"/>
        <v>0</v>
      </c>
      <c r="AE9" s="180">
        <f t="shared" si="21"/>
        <v>0</v>
      </c>
      <c r="AF9" s="180">
        <f t="shared" si="22"/>
        <v>0</v>
      </c>
      <c r="AG9" s="180">
        <f t="shared" si="23"/>
        <v>0</v>
      </c>
    </row>
    <row r="10" spans="1:36" x14ac:dyDescent="0.2">
      <c r="G10" s="180">
        <f t="shared" ref="G10:L10" si="24">SUM(G4:G9)</f>
        <v>0</v>
      </c>
      <c r="H10" s="180">
        <f t="shared" si="24"/>
        <v>0</v>
      </c>
      <c r="I10" s="180">
        <f t="shared" si="24"/>
        <v>0</v>
      </c>
      <c r="J10" s="180">
        <f t="shared" si="24"/>
        <v>0</v>
      </c>
      <c r="K10" s="180">
        <f t="shared" si="24"/>
        <v>0</v>
      </c>
      <c r="L10" s="180">
        <f t="shared" si="24"/>
        <v>0</v>
      </c>
      <c r="M10" s="180">
        <f>H10*3+I10</f>
        <v>0</v>
      </c>
      <c r="N10" s="180">
        <f t="shared" ref="N10:S10" si="25">SUM(N4:N9)</f>
        <v>0</v>
      </c>
      <c r="O10" s="180">
        <f t="shared" si="25"/>
        <v>0</v>
      </c>
      <c r="P10" s="180">
        <f t="shared" si="25"/>
        <v>0</v>
      </c>
      <c r="Q10" s="180">
        <f t="shared" si="25"/>
        <v>0</v>
      </c>
      <c r="R10" s="180">
        <f t="shared" si="25"/>
        <v>0</v>
      </c>
      <c r="S10" s="180">
        <f t="shared" si="25"/>
        <v>0</v>
      </c>
      <c r="T10" s="180">
        <f>O10*3+P10</f>
        <v>0</v>
      </c>
      <c r="U10" s="180">
        <f t="shared" ref="U10:Z10" si="26">SUM(U4:U9)</f>
        <v>0</v>
      </c>
      <c r="V10" s="180">
        <f t="shared" si="26"/>
        <v>0</v>
      </c>
      <c r="W10" s="180">
        <f t="shared" si="26"/>
        <v>0</v>
      </c>
      <c r="X10" s="180">
        <f t="shared" si="26"/>
        <v>0</v>
      </c>
      <c r="Y10" s="180">
        <f t="shared" si="26"/>
        <v>0</v>
      </c>
      <c r="Z10" s="180">
        <f t="shared" si="26"/>
        <v>0</v>
      </c>
      <c r="AA10" s="180">
        <f>V10*3+W10</f>
        <v>0</v>
      </c>
      <c r="AB10" s="180">
        <f t="shared" ref="AB10:AG10" si="27">SUM(AB4:AB9)</f>
        <v>0</v>
      </c>
      <c r="AC10" s="180">
        <f t="shared" si="27"/>
        <v>0</v>
      </c>
      <c r="AD10" s="180">
        <f t="shared" si="27"/>
        <v>0</v>
      </c>
      <c r="AE10" s="180">
        <f t="shared" si="27"/>
        <v>0</v>
      </c>
      <c r="AF10" s="180">
        <f t="shared" si="27"/>
        <v>0</v>
      </c>
      <c r="AG10" s="180">
        <f t="shared" si="27"/>
        <v>0</v>
      </c>
      <c r="AH10" s="180">
        <f>AC10*3+AD10</f>
        <v>0</v>
      </c>
    </row>
    <row r="14" spans="1:36" x14ac:dyDescent="0.2">
      <c r="F14" t="s">
        <v>154</v>
      </c>
    </row>
    <row r="15" spans="1:36" x14ac:dyDescent="0.2">
      <c r="G15" t="s">
        <v>148</v>
      </c>
      <c r="H15" t="s">
        <v>149</v>
      </c>
      <c r="I15" t="s">
        <v>150</v>
      </c>
      <c r="J15" t="s">
        <v>151</v>
      </c>
      <c r="K15" t="s">
        <v>152</v>
      </c>
      <c r="L15" t="s">
        <v>153</v>
      </c>
      <c r="M15" t="s">
        <v>155</v>
      </c>
      <c r="O15" t="s">
        <v>156</v>
      </c>
      <c r="S15" t="s">
        <v>157</v>
      </c>
      <c r="W15" t="s">
        <v>158</v>
      </c>
      <c r="AA15" t="s">
        <v>159</v>
      </c>
      <c r="AE15" t="s">
        <v>160</v>
      </c>
      <c r="AI15" t="s">
        <v>161</v>
      </c>
    </row>
    <row r="16" spans="1:36" x14ac:dyDescent="0.2">
      <c r="F16" t="str">
        <f>G2</f>
        <v>Francia</v>
      </c>
      <c r="G16" s="180">
        <f t="shared" ref="G16:M16" si="28">G10</f>
        <v>0</v>
      </c>
      <c r="H16" s="180">
        <f t="shared" si="28"/>
        <v>0</v>
      </c>
      <c r="I16" s="180">
        <f t="shared" si="28"/>
        <v>0</v>
      </c>
      <c r="J16" s="180">
        <f t="shared" si="28"/>
        <v>0</v>
      </c>
      <c r="K16" s="180">
        <f t="shared" si="28"/>
        <v>0</v>
      </c>
      <c r="L16" s="180">
        <f t="shared" si="28"/>
        <v>0</v>
      </c>
      <c r="M16" s="180">
        <f t="shared" si="28"/>
        <v>0</v>
      </c>
      <c r="O16" t="str">
        <f>IF($M16&gt;=$M17,$F16,$F17)</f>
        <v>Francia</v>
      </c>
      <c r="P16" s="180">
        <f>VLOOKUP(O16,$F$16:$M$25,8,FALSE)</f>
        <v>0</v>
      </c>
      <c r="S16" t="str">
        <f>IF($P16&gt;=$P18,$O16,$O18)</f>
        <v>Francia</v>
      </c>
      <c r="T16" s="180">
        <f>VLOOKUP(S16,$O$16:$P$25,2,FALSE)</f>
        <v>0</v>
      </c>
      <c r="W16" t="str">
        <f>IF($T16&gt;=$T19,$S16,$S19)</f>
        <v>Francia</v>
      </c>
      <c r="X16" s="180">
        <f>VLOOKUP(W16,$S$16:$T$25,2,FALSE)</f>
        <v>0</v>
      </c>
      <c r="AA16" t="str">
        <f>W16</f>
        <v>Francia</v>
      </c>
      <c r="AB16" s="180">
        <f>VLOOKUP(AA16,W16:X25,2,FALSE)</f>
        <v>0</v>
      </c>
      <c r="AE16" t="str">
        <f>AA16</f>
        <v>Francia</v>
      </c>
      <c r="AF16" s="180">
        <f>VLOOKUP(AE16,AA16:AB25,2,FALSE)</f>
        <v>0</v>
      </c>
      <c r="AI16" t="str">
        <f>AE16</f>
        <v>Francia</v>
      </c>
      <c r="AJ16" s="180">
        <f>VLOOKUP(AI16,AE16:AF25,2,FALSE)</f>
        <v>0</v>
      </c>
    </row>
    <row r="17" spans="6:37" x14ac:dyDescent="0.2">
      <c r="F17" t="str">
        <f>N2</f>
        <v>Suiza</v>
      </c>
      <c r="G17" s="180">
        <f t="shared" ref="G17:M17" si="29">N10</f>
        <v>0</v>
      </c>
      <c r="H17" s="180">
        <f t="shared" si="29"/>
        <v>0</v>
      </c>
      <c r="I17" s="180">
        <f t="shared" si="29"/>
        <v>0</v>
      </c>
      <c r="J17" s="180">
        <f t="shared" si="29"/>
        <v>0</v>
      </c>
      <c r="K17" s="180">
        <f t="shared" si="29"/>
        <v>0</v>
      </c>
      <c r="L17" s="180">
        <f t="shared" si="29"/>
        <v>0</v>
      </c>
      <c r="M17" s="180">
        <f t="shared" si="29"/>
        <v>0</v>
      </c>
      <c r="O17" t="str">
        <f>IF($M17&lt;=$M16,$F17,$F16)</f>
        <v>Suiza</v>
      </c>
      <c r="P17" s="180">
        <f>VLOOKUP(O17,$F$16:$M$25,8,FALSE)</f>
        <v>0</v>
      </c>
      <c r="S17" t="str">
        <f>O17</f>
        <v>Suiza</v>
      </c>
      <c r="T17" s="180">
        <f>VLOOKUP(S17,$O$16:$P$25,2,FALSE)</f>
        <v>0</v>
      </c>
      <c r="W17" t="str">
        <f>S17</f>
        <v>Suiza</v>
      </c>
      <c r="X17" s="180">
        <f>VLOOKUP(W17,$S$16:$T$25,2,FALSE)</f>
        <v>0</v>
      </c>
      <c r="AA17" t="str">
        <f>IF(X17&gt;=X18,W17,W18)</f>
        <v>Suiza</v>
      </c>
      <c r="AB17" s="180">
        <f>VLOOKUP(AA17,W16:X25,2,FALSE)</f>
        <v>0</v>
      </c>
      <c r="AE17" t="str">
        <f>IF(AB17&gt;=AB19,AA17,AA19)</f>
        <v>Suiza</v>
      </c>
      <c r="AF17" s="180">
        <f>VLOOKUP(AE17,AA16:AB25,2,FALSE)</f>
        <v>0</v>
      </c>
      <c r="AI17" t="str">
        <f>AE17</f>
        <v>Suiza</v>
      </c>
      <c r="AJ17" s="180">
        <f>VLOOKUP(AI17,AE16:AF25,2,FALSE)</f>
        <v>0</v>
      </c>
    </row>
    <row r="18" spans="6:37" x14ac:dyDescent="0.2">
      <c r="F18" t="str">
        <f>U2</f>
        <v>Corea del Sur</v>
      </c>
      <c r="G18" s="180">
        <f t="shared" ref="G18:M18" si="30">U10</f>
        <v>0</v>
      </c>
      <c r="H18" s="180">
        <f t="shared" si="30"/>
        <v>0</v>
      </c>
      <c r="I18" s="180">
        <f t="shared" si="30"/>
        <v>0</v>
      </c>
      <c r="J18" s="180">
        <f t="shared" si="30"/>
        <v>0</v>
      </c>
      <c r="K18" s="180">
        <f t="shared" si="30"/>
        <v>0</v>
      </c>
      <c r="L18" s="180">
        <f t="shared" si="30"/>
        <v>0</v>
      </c>
      <c r="M18" s="180">
        <f t="shared" si="30"/>
        <v>0</v>
      </c>
      <c r="O18" t="str">
        <f>F18</f>
        <v>Corea del Sur</v>
      </c>
      <c r="P18" s="180">
        <f>VLOOKUP(O18,$F$16:$M$25,8,FALSE)</f>
        <v>0</v>
      </c>
      <c r="S18" t="str">
        <f>IF($P18&lt;=$P16,$O18,$O16)</f>
        <v>Corea del Sur</v>
      </c>
      <c r="T18" s="180">
        <f>VLOOKUP(S18,$O$16:$P$25,2,FALSE)</f>
        <v>0</v>
      </c>
      <c r="W18" t="str">
        <f>S18</f>
        <v>Corea del Sur</v>
      </c>
      <c r="X18" s="180">
        <f>VLOOKUP(W18,$S$16:$T$25,2,FALSE)</f>
        <v>0</v>
      </c>
      <c r="AA18" t="str">
        <f>IF(X18&lt;=X17,W18,W17)</f>
        <v>Corea del Sur</v>
      </c>
      <c r="AB18" s="180">
        <f>VLOOKUP(AA18,W16:X25,2,FALSE)</f>
        <v>0</v>
      </c>
      <c r="AE18" t="str">
        <f>AA18</f>
        <v>Corea del Sur</v>
      </c>
      <c r="AF18" s="180">
        <f>VLOOKUP(AE18,AA16:AB25,2,FALSE)</f>
        <v>0</v>
      </c>
      <c r="AI18" t="str">
        <f>IF(AF18&gt;=AF19,AE18,AE19)</f>
        <v>Corea del Sur</v>
      </c>
      <c r="AJ18" s="180">
        <f>VLOOKUP(AI18,AE16:AF25,2,FALSE)</f>
        <v>0</v>
      </c>
    </row>
    <row r="19" spans="6:37" x14ac:dyDescent="0.2">
      <c r="F19" t="str">
        <f>AB2</f>
        <v>Togo</v>
      </c>
      <c r="G19" s="180">
        <f t="shared" ref="G19:M19" si="31">AB10</f>
        <v>0</v>
      </c>
      <c r="H19" s="180">
        <f t="shared" si="31"/>
        <v>0</v>
      </c>
      <c r="I19" s="180">
        <f t="shared" si="31"/>
        <v>0</v>
      </c>
      <c r="J19" s="180">
        <f t="shared" si="31"/>
        <v>0</v>
      </c>
      <c r="K19" s="180">
        <f t="shared" si="31"/>
        <v>0</v>
      </c>
      <c r="L19" s="180">
        <f t="shared" si="31"/>
        <v>0</v>
      </c>
      <c r="M19" s="180">
        <f t="shared" si="31"/>
        <v>0</v>
      </c>
      <c r="O19" t="str">
        <f>F19</f>
        <v>Togo</v>
      </c>
      <c r="P19" s="180">
        <f>VLOOKUP(O19,$F$16:$M$25,8,FALSE)</f>
        <v>0</v>
      </c>
      <c r="S19" t="str">
        <f>O19</f>
        <v>Togo</v>
      </c>
      <c r="T19" s="180">
        <f>VLOOKUP(S19,$O$16:$P$25,2,FALSE)</f>
        <v>0</v>
      </c>
      <c r="W19" t="str">
        <f>IF($T19&lt;=$T16,$S19,$S16)</f>
        <v>Togo</v>
      </c>
      <c r="X19" s="180">
        <f>VLOOKUP(W19,$S$16:$T$25,2,FALSE)</f>
        <v>0</v>
      </c>
      <c r="AA19" t="str">
        <f>W19</f>
        <v>Togo</v>
      </c>
      <c r="AB19" s="180">
        <f>VLOOKUP(AA19,W16:X25,2,FALSE)</f>
        <v>0</v>
      </c>
      <c r="AE19" t="str">
        <f>IF(AB19&lt;=AB17,AA19,AA17)</f>
        <v>Togo</v>
      </c>
      <c r="AF19" s="180">
        <f>VLOOKUP(AE19,AA16:AB25,2,FALSE)</f>
        <v>0</v>
      </c>
      <c r="AI19" t="str">
        <f>IF(AF19&lt;=AF18,AE19,AE18)</f>
        <v>Togo</v>
      </c>
      <c r="AJ19" s="180">
        <f>VLOOKUP(AI19,AE16:AF25,2,FALSE)</f>
        <v>0</v>
      </c>
    </row>
    <row r="28" spans="6:37" x14ac:dyDescent="0.2">
      <c r="F28" t="str">
        <f>AI16</f>
        <v>Francia</v>
      </c>
      <c r="J28" s="180">
        <f>AJ16</f>
        <v>0</v>
      </c>
      <c r="K28" s="180">
        <f>VLOOKUP(AI16,$F$16:$M$25,6,FALSE)</f>
        <v>0</v>
      </c>
      <c r="L28" s="180">
        <f>VLOOKUP(AI16,$F$16:$M$25,7,FALSE)</f>
        <v>0</v>
      </c>
      <c r="M28" s="180">
        <f>K28-L28</f>
        <v>0</v>
      </c>
      <c r="O28" t="str">
        <f>IF(AND($J28=$J29,$M29&gt;$M28),$F29,$F28)</f>
        <v>Francia</v>
      </c>
      <c r="P28" s="180">
        <f>VLOOKUP(O28,$F$28:$M$37,5,FALSE)</f>
        <v>0</v>
      </c>
      <c r="Q28" s="180">
        <f>VLOOKUP(O28,$F$28:$M$37,8,FALSE)</f>
        <v>0</v>
      </c>
      <c r="S28" t="str">
        <f>IF(AND(P28=P30,Q30&gt;Q28),O30,O28)</f>
        <v>Francia</v>
      </c>
      <c r="T28" s="180">
        <f>VLOOKUP(S28,$O$28:$Q$37,2,FALSE)</f>
        <v>0</v>
      </c>
      <c r="U28" s="180">
        <f>VLOOKUP(S28,$O$28:$Q$37,3,FALSE)</f>
        <v>0</v>
      </c>
      <c r="W28" t="str">
        <f>IF(AND(T28=T31,U31&gt;U28),S31,S28)</f>
        <v>Francia</v>
      </c>
      <c r="X28" s="180">
        <f>VLOOKUP(W28,$S$28:$U$37,2,FALSE)</f>
        <v>0</v>
      </c>
      <c r="Y28" s="180">
        <f>VLOOKUP(W28,$S$28:$U$37,3,FALSE)</f>
        <v>0</v>
      </c>
      <c r="AA28" t="str">
        <f>W28</f>
        <v>Francia</v>
      </c>
      <c r="AB28" s="180">
        <f>VLOOKUP(AA28,W28:Y37,2,FALSE)</f>
        <v>0</v>
      </c>
      <c r="AC28" s="180">
        <f>VLOOKUP(AA28,W28:Y37,3,FALSE)</f>
        <v>0</v>
      </c>
      <c r="AE28" t="str">
        <f>AA28</f>
        <v>Francia</v>
      </c>
      <c r="AF28" s="180">
        <f>VLOOKUP(AE28,AA28:AC37,2,FALSE)</f>
        <v>0</v>
      </c>
      <c r="AG28" s="180">
        <f>VLOOKUP(AE28,AA28:AC37,3,FALSE)</f>
        <v>0</v>
      </c>
      <c r="AI28" t="str">
        <f>AE28</f>
        <v>Francia</v>
      </c>
      <c r="AJ28" s="180">
        <f>VLOOKUP(AI28,AE28:AG37,2,FALSE)</f>
        <v>0</v>
      </c>
      <c r="AK28" s="180">
        <f>VLOOKUP(AI28,AE28:AG37,3,FALSE)</f>
        <v>0</v>
      </c>
    </row>
    <row r="29" spans="6:37" x14ac:dyDescent="0.2">
      <c r="F29" t="str">
        <f>AI17</f>
        <v>Suiza</v>
      </c>
      <c r="J29" s="180">
        <f>AJ17</f>
        <v>0</v>
      </c>
      <c r="K29" s="180">
        <f>VLOOKUP(AI17,$F$16:$M$25,6,FALSE)</f>
        <v>0</v>
      </c>
      <c r="L29" s="180">
        <f>VLOOKUP(AI17,$F$16:$M$25,7,FALSE)</f>
        <v>0</v>
      </c>
      <c r="M29" s="180">
        <f>K29-L29</f>
        <v>0</v>
      </c>
      <c r="O29" t="str">
        <f>IF(AND($J28=$J29,$M29&gt;$M28),$F28,$F29)</f>
        <v>Suiza</v>
      </c>
      <c r="P29" s="180">
        <f>VLOOKUP(O29,$F$28:$M$37,5,FALSE)</f>
        <v>0</v>
      </c>
      <c r="Q29" s="180">
        <f>VLOOKUP(O29,$F$28:$M$37,8,FALSE)</f>
        <v>0</v>
      </c>
      <c r="S29" t="str">
        <f>O29</f>
        <v>Suiza</v>
      </c>
      <c r="T29" s="180">
        <f>VLOOKUP(S29,$O$28:$Q$37,2,FALSE)</f>
        <v>0</v>
      </c>
      <c r="U29" s="180">
        <f>VLOOKUP(S29,$O$28:$Q$37,3,FALSE)</f>
        <v>0</v>
      </c>
      <c r="W29" t="str">
        <f>S29</f>
        <v>Suiza</v>
      </c>
      <c r="X29" s="180">
        <f>VLOOKUP(W29,$S$28:$U$37,2,FALSE)</f>
        <v>0</v>
      </c>
      <c r="Y29" s="180">
        <f>VLOOKUP(W29,$S$28:$U$37,3,FALSE)</f>
        <v>0</v>
      </c>
      <c r="AA29" t="str">
        <f>IF(AND(X29=X30,Y30&gt;Y29),W30,W29)</f>
        <v>Suiza</v>
      </c>
      <c r="AB29" s="180">
        <f>VLOOKUP(AA29,W28:Y37,2,FALSE)</f>
        <v>0</v>
      </c>
      <c r="AC29" s="180">
        <f>VLOOKUP(AA29,W28:Y37,3,FALSE)</f>
        <v>0</v>
      </c>
      <c r="AE29" t="str">
        <f>IF(AND(AB29=AB31,AC31&gt;AC29),AA31,AA29)</f>
        <v>Suiza</v>
      </c>
      <c r="AF29" s="180">
        <f>VLOOKUP(AE29,AA28:AC37,2,FALSE)</f>
        <v>0</v>
      </c>
      <c r="AG29" s="180">
        <f>VLOOKUP(AE29,AA28:AC37,3,FALSE)</f>
        <v>0</v>
      </c>
      <c r="AI29" t="str">
        <f>AE29</f>
        <v>Suiza</v>
      </c>
      <c r="AJ29" s="180">
        <f>VLOOKUP(AI29,AE28:AG37,2,FALSE)</f>
        <v>0</v>
      </c>
      <c r="AK29" s="180">
        <f>VLOOKUP(AI29,AE28:AG37,3,FALSE)</f>
        <v>0</v>
      </c>
    </row>
    <row r="30" spans="6:37" x14ac:dyDescent="0.2">
      <c r="F30" t="str">
        <f>AI18</f>
        <v>Corea del Sur</v>
      </c>
      <c r="J30" s="180">
        <f>AJ18</f>
        <v>0</v>
      </c>
      <c r="K30" s="180">
        <f>VLOOKUP(AI18,$F$16:$M$25,6,FALSE)</f>
        <v>0</v>
      </c>
      <c r="L30" s="180">
        <f>VLOOKUP(AI18,$F$16:$M$25,7,FALSE)</f>
        <v>0</v>
      </c>
      <c r="M30" s="180">
        <f>K30-L30</f>
        <v>0</v>
      </c>
      <c r="O30" t="str">
        <f>F30</f>
        <v>Corea del Sur</v>
      </c>
      <c r="P30" s="180">
        <f>VLOOKUP(O30,$F$28:$M$37,5,FALSE)</f>
        <v>0</v>
      </c>
      <c r="Q30" s="180">
        <f>VLOOKUP(O30,$F$28:$M$37,8,FALSE)</f>
        <v>0</v>
      </c>
      <c r="S30" t="str">
        <f>IF(AND($P28=P30,Q30&gt;Q28),O28,O30)</f>
        <v>Corea del Sur</v>
      </c>
      <c r="T30" s="180">
        <f>VLOOKUP(S30,$O$28:$Q$37,2,FALSE)</f>
        <v>0</v>
      </c>
      <c r="U30" s="180">
        <f>VLOOKUP(S30,$O$28:$Q$37,3,FALSE)</f>
        <v>0</v>
      </c>
      <c r="W30" t="str">
        <f>S30</f>
        <v>Corea del Sur</v>
      </c>
      <c r="X30" s="180">
        <f>VLOOKUP(W30,$S$28:$U$37,2,FALSE)</f>
        <v>0</v>
      </c>
      <c r="Y30" s="180">
        <f>VLOOKUP(W30,$S$28:$U$37,3,FALSE)</f>
        <v>0</v>
      </c>
      <c r="AA30" t="str">
        <f>IF(AND(X29=X30,Y30&gt;Y29),W29,W30)</f>
        <v>Corea del Sur</v>
      </c>
      <c r="AB30" s="180">
        <f>VLOOKUP(AA30,W28:Y37,2,FALSE)</f>
        <v>0</v>
      </c>
      <c r="AC30" s="180">
        <f>VLOOKUP(AA30,W28:Y37,3,FALSE)</f>
        <v>0</v>
      </c>
      <c r="AE30" t="str">
        <f>AA30</f>
        <v>Corea del Sur</v>
      </c>
      <c r="AF30" s="180">
        <f>VLOOKUP(AE30,AA28:AC37,2,FALSE)</f>
        <v>0</v>
      </c>
      <c r="AG30" s="180">
        <f>VLOOKUP(AE30,AA28:AC37,3,FALSE)</f>
        <v>0</v>
      </c>
      <c r="AI30" t="str">
        <f>IF(AND(AF30=AF31,AG31&gt;AG30),AE31,AE30)</f>
        <v>Corea del Sur</v>
      </c>
      <c r="AJ30" s="180">
        <f>VLOOKUP(AI30,AE28:AG37,2,FALSE)</f>
        <v>0</v>
      </c>
      <c r="AK30" s="180">
        <f>VLOOKUP(AI30,AE28:AG37,3,FALSE)</f>
        <v>0</v>
      </c>
    </row>
    <row r="31" spans="6:37" x14ac:dyDescent="0.2">
      <c r="F31" t="str">
        <f>AI19</f>
        <v>Togo</v>
      </c>
      <c r="J31" s="180">
        <f>AJ19</f>
        <v>0</v>
      </c>
      <c r="K31" s="180">
        <f>VLOOKUP(AI19,$F$16:$M$25,6,FALSE)</f>
        <v>0</v>
      </c>
      <c r="L31" s="180">
        <f>VLOOKUP(AI19,$F$16:$M$25,7,FALSE)</f>
        <v>0</v>
      </c>
      <c r="M31" s="180">
        <f>K31-L31</f>
        <v>0</v>
      </c>
      <c r="O31" t="str">
        <f>F31</f>
        <v>Togo</v>
      </c>
      <c r="P31" s="180">
        <f>VLOOKUP(O31,$F$28:$M$37,5,FALSE)</f>
        <v>0</v>
      </c>
      <c r="Q31" s="180">
        <f>VLOOKUP(O31,$F$28:$M$37,8,FALSE)</f>
        <v>0</v>
      </c>
      <c r="S31" t="str">
        <f>O31</f>
        <v>Togo</v>
      </c>
      <c r="T31" s="180">
        <f>VLOOKUP(S31,$O$28:$Q$37,2,FALSE)</f>
        <v>0</v>
      </c>
      <c r="U31" s="180">
        <f>VLOOKUP(S31,$O$28:$Q$37,3,FALSE)</f>
        <v>0</v>
      </c>
      <c r="W31" t="str">
        <f>IF(AND(T28=T31,U31&gt;U28),S28,S31)</f>
        <v>Togo</v>
      </c>
      <c r="X31" s="180">
        <f>VLOOKUP(W31,$S$28:$U$37,2,FALSE)</f>
        <v>0</v>
      </c>
      <c r="Y31" s="180">
        <f>VLOOKUP(W31,$S$28:$U$37,3,FALSE)</f>
        <v>0</v>
      </c>
      <c r="AA31" t="str">
        <f>W31</f>
        <v>Togo</v>
      </c>
      <c r="AB31" s="180">
        <f>VLOOKUP(AA31,W28:Y37,2,FALSE)</f>
        <v>0</v>
      </c>
      <c r="AC31" s="180">
        <f>VLOOKUP(AA31,W28:Y37,3,FALSE)</f>
        <v>0</v>
      </c>
      <c r="AE31" t="str">
        <f>IF(AND(AB29=AB31,AC31&gt;AC29),AA29,AA31)</f>
        <v>Togo</v>
      </c>
      <c r="AF31" s="180">
        <f>VLOOKUP(AE31,AA28:AC37,2,FALSE)</f>
        <v>0</v>
      </c>
      <c r="AG31" s="180">
        <f>VLOOKUP(AE31,AA28:AC37,3,FALSE)</f>
        <v>0</v>
      </c>
      <c r="AI31" t="str">
        <f>IF(AND(AF30=AF31,AG31&gt;AG30),AE30,AE31)</f>
        <v>Togo</v>
      </c>
      <c r="AJ31" s="180">
        <f>VLOOKUP(AI31,AE28:AG37,2,FALSE)</f>
        <v>0</v>
      </c>
      <c r="AK31" s="180">
        <f>VLOOKUP(AI31,AE28:AG37,3,FALSE)</f>
        <v>0</v>
      </c>
    </row>
    <row r="40" spans="6:38" x14ac:dyDescent="0.2">
      <c r="F40" t="str">
        <f>AI28</f>
        <v>Francia</v>
      </c>
      <c r="J40" s="180">
        <f>VLOOKUP(F40,$F$16:$M$25,8,FALSE)</f>
        <v>0</v>
      </c>
      <c r="K40" s="180">
        <f>VLOOKUP(F40,$F$16:$M$25,6,FALSE)</f>
        <v>0</v>
      </c>
      <c r="L40" s="180">
        <f>VLOOKUP(F40,$F$16:$M$25,7,FALSE)</f>
        <v>0</v>
      </c>
      <c r="M40" s="180">
        <f>K40-L40</f>
        <v>0</v>
      </c>
      <c r="O40" t="str">
        <f>IF(AND(J40=J41,M40=M41,K41&gt;K40),F41,F40)</f>
        <v>Francia</v>
      </c>
      <c r="P40" s="180">
        <f>VLOOKUP(O40,$F$40:$M$49,5,FALSE)</f>
        <v>0</v>
      </c>
      <c r="Q40" s="180">
        <f>VLOOKUP(O40,$F$40:$M$49,8,FALSE)</f>
        <v>0</v>
      </c>
      <c r="R40" s="180">
        <f>VLOOKUP(O40,$F$40:$M$49,6,FALSE)</f>
        <v>0</v>
      </c>
      <c r="S40" t="str">
        <f>IF(AND(P40=P42,Q40=Q42,R42&gt;R40),O42,O40)</f>
        <v>Francia</v>
      </c>
      <c r="T40" s="180">
        <f>VLOOKUP(S40,$O$40:$R$49,2,FALSE)</f>
        <v>0</v>
      </c>
      <c r="U40" s="180">
        <f>VLOOKUP(S40,$O$40:$R$49,3,FALSE)</f>
        <v>0</v>
      </c>
      <c r="V40" s="180">
        <f>VLOOKUP(S40,$O$40:$R$49,4,FALSE)</f>
        <v>0</v>
      </c>
      <c r="W40" t="str">
        <f>IF(AND(T40=T43,U40=U43,V43&gt;V40),S43,S40)</f>
        <v>Francia</v>
      </c>
      <c r="X40" s="180">
        <f>VLOOKUP(W40,$S$40:$V$49,2,FALSE)</f>
        <v>0</v>
      </c>
      <c r="Y40" s="180">
        <f>VLOOKUP(W40,$S$40:$V$49,3,FALSE)</f>
        <v>0</v>
      </c>
      <c r="Z40" s="180">
        <f>VLOOKUP(W40,$S$40:$V$49,4,FALSE)</f>
        <v>0</v>
      </c>
      <c r="AA40" t="str">
        <f>W40</f>
        <v>Francia</v>
      </c>
      <c r="AB40" s="180">
        <f>VLOOKUP(AA40,W40:Z49,2,FALSE)</f>
        <v>0</v>
      </c>
      <c r="AC40" s="180">
        <f>VLOOKUP(AA40,W40:Z49,3,FALSE)</f>
        <v>0</v>
      </c>
      <c r="AD40" s="180">
        <f>VLOOKUP(AA40,W40:Z49,4,FALSE)</f>
        <v>0</v>
      </c>
      <c r="AE40" t="str">
        <f>AA40</f>
        <v>Francia</v>
      </c>
      <c r="AF40" s="180">
        <f>VLOOKUP(AE40,AA40:AD49,2,FALSE)</f>
        <v>0</v>
      </c>
      <c r="AG40" s="180">
        <f>VLOOKUP(AE40,AA40:AD49,3,FALSE)</f>
        <v>0</v>
      </c>
      <c r="AH40" s="180">
        <f>VLOOKUP(AE40,AA40:AD49,4,FALSE)</f>
        <v>0</v>
      </c>
      <c r="AI40" t="str">
        <f>AE40</f>
        <v>Francia</v>
      </c>
      <c r="AJ40" s="180">
        <f>VLOOKUP(AI40,AE40:AH49,2,FALSE)</f>
        <v>0</v>
      </c>
      <c r="AK40" s="180">
        <f>VLOOKUP(AI40,AE40:AH49,3,FALSE)</f>
        <v>0</v>
      </c>
      <c r="AL40" s="180">
        <f>VLOOKUP(AI40,AE40:AH49,4,FALSE)</f>
        <v>0</v>
      </c>
    </row>
    <row r="41" spans="6:38" x14ac:dyDescent="0.2">
      <c r="F41" t="str">
        <f>AI29</f>
        <v>Suiza</v>
      </c>
      <c r="J41" s="180">
        <f>VLOOKUP(F41,$F$16:$M$25,8,FALSE)</f>
        <v>0</v>
      </c>
      <c r="K41" s="180">
        <f>VLOOKUP(F41,$F$16:$M$25,6,FALSE)</f>
        <v>0</v>
      </c>
      <c r="L41" s="180">
        <f>VLOOKUP(F41,$F$16:$M$25,7,FALSE)</f>
        <v>0</v>
      </c>
      <c r="M41" s="180">
        <f>K41-L41</f>
        <v>0</v>
      </c>
      <c r="O41" t="str">
        <f>IF(AND(J40=J41,M40=M41,K41&gt;K40),F40,F41)</f>
        <v>Suiza</v>
      </c>
      <c r="P41" s="180">
        <f>VLOOKUP(O41,$F$40:$M$49,5,FALSE)</f>
        <v>0</v>
      </c>
      <c r="Q41" s="180">
        <f>VLOOKUP(O41,$F$40:$M$49,8,FALSE)</f>
        <v>0</v>
      </c>
      <c r="R41" s="180">
        <f>VLOOKUP(O41,$F$40:$M$49,6,FALSE)</f>
        <v>0</v>
      </c>
      <c r="S41" t="str">
        <f>O41</f>
        <v>Suiza</v>
      </c>
      <c r="T41" s="180">
        <f>VLOOKUP(S41,$O$40:$R$49,2,FALSE)</f>
        <v>0</v>
      </c>
      <c r="U41" s="180">
        <f>VLOOKUP(S41,$O$40:$R$49,3,FALSE)</f>
        <v>0</v>
      </c>
      <c r="V41" s="180">
        <f>VLOOKUP(S41,$O$40:$R$49,4,FALSE)</f>
        <v>0</v>
      </c>
      <c r="W41" t="str">
        <f>S41</f>
        <v>Suiza</v>
      </c>
      <c r="X41" s="180">
        <f>VLOOKUP(W41,$S$40:$V$49,2,FALSE)</f>
        <v>0</v>
      </c>
      <c r="Y41" s="180">
        <f>VLOOKUP(W41,$S$40:$V$49,3,FALSE)</f>
        <v>0</v>
      </c>
      <c r="Z41" s="180">
        <f>VLOOKUP(W41,$S$40:$V$49,4,FALSE)</f>
        <v>0</v>
      </c>
      <c r="AA41" t="str">
        <f>IF(AND(X41=X42,Y41=Y42,Z42&gt;Z41),W42,W41)</f>
        <v>Suiza</v>
      </c>
      <c r="AB41" s="180">
        <f>VLOOKUP(AA41,W40:Z49,2,FALSE)</f>
        <v>0</v>
      </c>
      <c r="AC41" s="180">
        <f>VLOOKUP(AA41,W40:Z49,3,FALSE)</f>
        <v>0</v>
      </c>
      <c r="AD41" s="180">
        <f>VLOOKUP(AA41,W40:Z49,4,FALSE)</f>
        <v>0</v>
      </c>
      <c r="AE41" t="str">
        <f>IF(AND(AB41=AB43,AC41=AC43,AD43&gt;AD41),AA43,AA41)</f>
        <v>Suiza</v>
      </c>
      <c r="AF41" s="180">
        <f>VLOOKUP(AE41,AA40:AD49,2,FALSE)</f>
        <v>0</v>
      </c>
      <c r="AG41" s="180">
        <f>VLOOKUP(AE41,AA40:AD49,3,FALSE)</f>
        <v>0</v>
      </c>
      <c r="AH41" s="180">
        <f>VLOOKUP(AE41,AA40:AD49,4,FALSE)</f>
        <v>0</v>
      </c>
      <c r="AI41" t="str">
        <f>AE41</f>
        <v>Suiza</v>
      </c>
      <c r="AJ41" s="180">
        <f>VLOOKUP(AI41,AE40:AH49,2,FALSE)</f>
        <v>0</v>
      </c>
      <c r="AK41" s="180">
        <f>VLOOKUP(AI41,AE40:AH49,3,FALSE)</f>
        <v>0</v>
      </c>
      <c r="AL41" s="180">
        <f>VLOOKUP(AI41,AE40:AH49,4,FALSE)</f>
        <v>0</v>
      </c>
    </row>
    <row r="42" spans="6:38" x14ac:dyDescent="0.2">
      <c r="F42" t="str">
        <f>AI30</f>
        <v>Corea del Sur</v>
      </c>
      <c r="J42" s="180">
        <f>VLOOKUP(F42,$F$16:$M$25,8,FALSE)</f>
        <v>0</v>
      </c>
      <c r="K42" s="180">
        <f>VLOOKUP(F42,$F$16:$M$25,6,FALSE)</f>
        <v>0</v>
      </c>
      <c r="L42" s="180">
        <f>VLOOKUP(F42,$F$16:$M$25,7,FALSE)</f>
        <v>0</v>
      </c>
      <c r="M42" s="180">
        <f>K42-L42</f>
        <v>0</v>
      </c>
      <c r="O42" t="str">
        <f>F42</f>
        <v>Corea del Sur</v>
      </c>
      <c r="P42" s="180">
        <f>VLOOKUP(O42,$F$40:$M$49,5,FALSE)</f>
        <v>0</v>
      </c>
      <c r="Q42" s="180">
        <f>VLOOKUP(O42,$F$40:$M$49,8,FALSE)</f>
        <v>0</v>
      </c>
      <c r="R42" s="180">
        <f>VLOOKUP(O42,$F$40:$M$49,6,FALSE)</f>
        <v>0</v>
      </c>
      <c r="S42" t="str">
        <f>IF(AND(P40=P42,Q40=Q42,R42&gt;R40),O40,O42)</f>
        <v>Corea del Sur</v>
      </c>
      <c r="T42" s="180">
        <f>VLOOKUP(S42,$O$40:$R$49,2,FALSE)</f>
        <v>0</v>
      </c>
      <c r="U42" s="180">
        <f>VLOOKUP(S42,$O$40:$R$49,3,FALSE)</f>
        <v>0</v>
      </c>
      <c r="V42" s="180">
        <f>VLOOKUP(S42,$O$40:$R$49,4,FALSE)</f>
        <v>0</v>
      </c>
      <c r="W42" t="str">
        <f>S42</f>
        <v>Corea del Sur</v>
      </c>
      <c r="X42" s="180">
        <f>VLOOKUP(W42,$S$40:$V$49,2,FALSE)</f>
        <v>0</v>
      </c>
      <c r="Y42" s="180">
        <f>VLOOKUP(W42,$S$40:$V$49,3,FALSE)</f>
        <v>0</v>
      </c>
      <c r="Z42" s="180">
        <f>VLOOKUP(W42,$S$40:$V$49,4,FALSE)</f>
        <v>0</v>
      </c>
      <c r="AA42" t="str">
        <f>IF(AND(X41=X42,Y41=Y42,Z42&gt;Z41),W41,W42)</f>
        <v>Corea del Sur</v>
      </c>
      <c r="AB42" s="180">
        <f>VLOOKUP(AA42,W40:Z49,2,FALSE)</f>
        <v>0</v>
      </c>
      <c r="AC42" s="180">
        <f>VLOOKUP(AA42,W40:Z49,3,FALSE)</f>
        <v>0</v>
      </c>
      <c r="AD42" s="180">
        <f>VLOOKUP(AA42,W40:Z49,4,FALSE)</f>
        <v>0</v>
      </c>
      <c r="AE42" t="str">
        <f>AA42</f>
        <v>Corea del Sur</v>
      </c>
      <c r="AF42" s="180">
        <f>VLOOKUP(AE42,AA40:AD49,2,FALSE)</f>
        <v>0</v>
      </c>
      <c r="AG42" s="180">
        <f>VLOOKUP(AE42,AA40:AD49,3,FALSE)</f>
        <v>0</v>
      </c>
      <c r="AH42" s="180">
        <f>VLOOKUP(AE42,AA40:AD49,4,FALSE)</f>
        <v>0</v>
      </c>
      <c r="AI42" t="str">
        <f>IF(AND(AF42=AF43,AG42=AG43,AH43&gt;AH42),AE43,AE42)</f>
        <v>Corea del Sur</v>
      </c>
      <c r="AJ42" s="180">
        <f>VLOOKUP(AI42,AE40:AH49,2,FALSE)</f>
        <v>0</v>
      </c>
      <c r="AK42" s="180">
        <f>VLOOKUP(AI42,AE40:AH49,3,FALSE)</f>
        <v>0</v>
      </c>
      <c r="AL42" s="180">
        <f>VLOOKUP(AI42,AE40:AH49,4,FALSE)</f>
        <v>0</v>
      </c>
    </row>
    <row r="43" spans="6:38" x14ac:dyDescent="0.2">
      <c r="F43" t="str">
        <f>AI31</f>
        <v>Togo</v>
      </c>
      <c r="J43" s="180">
        <f>VLOOKUP(F43,$F$16:$M$25,8,FALSE)</f>
        <v>0</v>
      </c>
      <c r="K43" s="180">
        <f>VLOOKUP(F43,$F$16:$M$25,6,FALSE)</f>
        <v>0</v>
      </c>
      <c r="L43" s="180">
        <f>VLOOKUP(F43,$F$16:$M$25,7,FALSE)</f>
        <v>0</v>
      </c>
      <c r="M43" s="180">
        <f>K43-L43</f>
        <v>0</v>
      </c>
      <c r="O43" t="str">
        <f>F43</f>
        <v>Togo</v>
      </c>
      <c r="P43" s="180">
        <f>VLOOKUP(O43,$F$40:$M$49,5,FALSE)</f>
        <v>0</v>
      </c>
      <c r="Q43" s="180">
        <f>VLOOKUP(O43,$F$40:$M$49,8,FALSE)</f>
        <v>0</v>
      </c>
      <c r="R43" s="180">
        <f>VLOOKUP(O43,$F$40:$M$49,6,FALSE)</f>
        <v>0</v>
      </c>
      <c r="S43" t="str">
        <f>O43</f>
        <v>Togo</v>
      </c>
      <c r="T43" s="180">
        <f>VLOOKUP(S43,$O$40:$R$49,2,FALSE)</f>
        <v>0</v>
      </c>
      <c r="U43" s="180">
        <f>VLOOKUP(S43,$O$40:$R$49,3,FALSE)</f>
        <v>0</v>
      </c>
      <c r="V43" s="180">
        <f>VLOOKUP(S43,$O$40:$R$49,4,FALSE)</f>
        <v>0</v>
      </c>
      <c r="W43" t="str">
        <f>IF(AND(T40=T43,U40=U43,V43&gt;V40),S40,S43)</f>
        <v>Togo</v>
      </c>
      <c r="X43" s="180">
        <f>VLOOKUP(W43,$S$40:$V$49,2,FALSE)</f>
        <v>0</v>
      </c>
      <c r="Y43" s="180">
        <f>VLOOKUP(W43,$S$40:$V$49,3,FALSE)</f>
        <v>0</v>
      </c>
      <c r="Z43" s="180">
        <f>VLOOKUP(W43,$S$40:$V$49,4,FALSE)</f>
        <v>0</v>
      </c>
      <c r="AA43" t="str">
        <f>W43</f>
        <v>Togo</v>
      </c>
      <c r="AB43" s="180">
        <f>VLOOKUP(AA43,W40:Z49,2,FALSE)</f>
        <v>0</v>
      </c>
      <c r="AC43" s="180">
        <f>VLOOKUP(AA43,W40:Z49,3,FALSE)</f>
        <v>0</v>
      </c>
      <c r="AD43" s="180">
        <f>VLOOKUP(AA43,W40:Z49,4,FALSE)</f>
        <v>0</v>
      </c>
      <c r="AE43" t="str">
        <f>IF(AND(AB41=AB43,AC41=AC43,AD43&gt;AD41),AA41,AA43)</f>
        <v>Togo</v>
      </c>
      <c r="AF43" s="180">
        <f>VLOOKUP(AE43,AA40:AD49,2,FALSE)</f>
        <v>0</v>
      </c>
      <c r="AG43" s="180">
        <f>VLOOKUP(AE43,AA40:AD49,3,FALSE)</f>
        <v>0</v>
      </c>
      <c r="AH43" s="180">
        <f>VLOOKUP(AE43,AA40:AD49,4,FALSE)</f>
        <v>0</v>
      </c>
      <c r="AI43" t="str">
        <f>IF(AND(AF42=AF43,AG42=AG43,AH43&gt;AH42),AE42,AE43)</f>
        <v>Togo</v>
      </c>
      <c r="AJ43" s="180">
        <f>VLOOKUP(AI43,AE40:AH49,2,FALSE)</f>
        <v>0</v>
      </c>
      <c r="AK43" s="180">
        <f>VLOOKUP(AI43,AE40:AH49,3,FALSE)</f>
        <v>0</v>
      </c>
      <c r="AL43" s="180">
        <f>VLOOKUP(AI43,AE40:AH49,4,FALSE)</f>
        <v>0</v>
      </c>
    </row>
    <row r="51" spans="6:13" x14ac:dyDescent="0.2">
      <c r="F51" t="s">
        <v>162</v>
      </c>
    </row>
    <row r="52" spans="6:13" x14ac:dyDescent="0.2">
      <c r="F52" t="str">
        <f>AI40</f>
        <v>Francia</v>
      </c>
      <c r="G52" s="180">
        <f>VLOOKUP(F52,$F$16:$M$25,2,FALSE)</f>
        <v>0</v>
      </c>
      <c r="H52" s="180">
        <f>VLOOKUP(F52,$F$16:$M$25,3,FALSE)</f>
        <v>0</v>
      </c>
      <c r="I52" s="180">
        <f>VLOOKUP(F52,$F$16:$M$25,4,FALSE)</f>
        <v>0</v>
      </c>
      <c r="J52" s="180">
        <f>VLOOKUP(F52,$F$16:$M$25,5,FALSE)</f>
        <v>0</v>
      </c>
      <c r="K52" s="180">
        <f>VLOOKUP(F52,$F$16:$M$25,6,FALSE)</f>
        <v>0</v>
      </c>
      <c r="L52" s="180">
        <f>VLOOKUP(F52,$F$16:$M$25,7,FALSE)</f>
        <v>0</v>
      </c>
      <c r="M52" s="180">
        <f>VLOOKUP(F52,$F$16:$M$25,8,FALSE)</f>
        <v>0</v>
      </c>
    </row>
    <row r="53" spans="6:13" x14ac:dyDescent="0.2">
      <c r="F53" t="str">
        <f>AI41</f>
        <v>Suiza</v>
      </c>
      <c r="G53" s="180">
        <f>VLOOKUP(F53,$F$16:$M$25,2,FALSE)</f>
        <v>0</v>
      </c>
      <c r="H53" s="180">
        <f>VLOOKUP(F53,$F$16:$M$25,3,FALSE)</f>
        <v>0</v>
      </c>
      <c r="I53" s="180">
        <f>VLOOKUP(F53,$F$16:$M$25,4,FALSE)</f>
        <v>0</v>
      </c>
      <c r="J53" s="180">
        <f>VLOOKUP(F53,$F$16:$M$25,5,FALSE)</f>
        <v>0</v>
      </c>
      <c r="K53" s="180">
        <f>VLOOKUP(F53,$F$16:$M$25,6,FALSE)</f>
        <v>0</v>
      </c>
      <c r="L53" s="180">
        <f>VLOOKUP(F53,$F$16:$M$25,7,FALSE)</f>
        <v>0</v>
      </c>
      <c r="M53" s="180">
        <f>VLOOKUP(F53,$F$16:$M$25,8,FALSE)</f>
        <v>0</v>
      </c>
    </row>
    <row r="54" spans="6:13" x14ac:dyDescent="0.2">
      <c r="F54" t="str">
        <f>AI42</f>
        <v>Corea del Sur</v>
      </c>
      <c r="G54" s="180">
        <f>VLOOKUP(F54,$F$16:$M$25,2,FALSE)</f>
        <v>0</v>
      </c>
      <c r="H54" s="180">
        <f>VLOOKUP(F54,$F$16:$M$25,3,FALSE)</f>
        <v>0</v>
      </c>
      <c r="I54" s="180">
        <f>VLOOKUP(F54,$F$16:$M$25,4,FALSE)</f>
        <v>0</v>
      </c>
      <c r="J54" s="180">
        <f>VLOOKUP(F54,$F$16:$M$25,5,FALSE)</f>
        <v>0</v>
      </c>
      <c r="K54" s="180">
        <f>VLOOKUP(F54,$F$16:$M$25,6,FALSE)</f>
        <v>0</v>
      </c>
      <c r="L54" s="180">
        <f>VLOOKUP(F54,$F$16:$M$25,7,FALSE)</f>
        <v>0</v>
      </c>
      <c r="M54" s="180">
        <f>VLOOKUP(F54,$F$16:$M$25,8,FALSE)</f>
        <v>0</v>
      </c>
    </row>
    <row r="55" spans="6:13" x14ac:dyDescent="0.2">
      <c r="F55" t="str">
        <f>AI43</f>
        <v>Togo</v>
      </c>
      <c r="G55" s="180">
        <f>VLOOKUP(F55,$F$16:$M$25,2,FALSE)</f>
        <v>0</v>
      </c>
      <c r="H55" s="180">
        <f>VLOOKUP(F55,$F$16:$M$25,3,FALSE)</f>
        <v>0</v>
      </c>
      <c r="I55" s="180">
        <f>VLOOKUP(F55,$F$16:$M$25,4,FALSE)</f>
        <v>0</v>
      </c>
      <c r="J55" s="180">
        <f>VLOOKUP(F55,$F$16:$M$25,5,FALSE)</f>
        <v>0</v>
      </c>
      <c r="K55" s="180">
        <f>VLOOKUP(F55,$F$16:$M$25,6,FALSE)</f>
        <v>0</v>
      </c>
      <c r="L55" s="180">
        <f>VLOOKUP(F55,$F$16:$M$25,7,FALSE)</f>
        <v>0</v>
      </c>
      <c r="M55" s="180">
        <f>VLOOKUP(F55,$F$16:$M$25,8,FALSE)</f>
        <v>0</v>
      </c>
    </row>
  </sheetData>
  <mergeCells count="1">
    <mergeCell ref="A2:E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55"/>
  <sheetViews>
    <sheetView showGridLines="0" showRowColHeaders="0" showOutlineSymbols="0" workbookViewId="0">
      <pane xSplit="5" topLeftCell="F1" activePane="topRight" state="frozen"/>
      <selection pane="topRight"/>
    </sheetView>
  </sheetViews>
  <sheetFormatPr baseColWidth="10" defaultColWidth="3.7109375" defaultRowHeight="12.75" x14ac:dyDescent="0.2"/>
  <cols>
    <col min="1" max="1" width="9.140625" customWidth="1"/>
    <col min="2" max="2" width="2.7109375" customWidth="1"/>
    <col min="3" max="3" width="1.5703125" customWidth="1"/>
    <col min="4" max="4" width="2.7109375" customWidth="1"/>
    <col min="5" max="5" width="9.140625" customWidth="1"/>
    <col min="6" max="6" width="10.85546875" customWidth="1"/>
  </cols>
  <sheetData>
    <row r="2" spans="1:36" x14ac:dyDescent="0.2">
      <c r="A2" s="219" t="s">
        <v>146</v>
      </c>
      <c r="B2" s="219"/>
      <c r="C2" s="219"/>
      <c r="D2" s="219"/>
      <c r="E2" s="219"/>
      <c r="G2" t="str">
        <f>'Grupo F'!Q7</f>
        <v>Brasil</v>
      </c>
      <c r="N2" t="str">
        <f>'Grupo F'!Q9</f>
        <v>Croacia</v>
      </c>
      <c r="U2" t="str">
        <f>'Grupo F'!Q11</f>
        <v>Australia</v>
      </c>
      <c r="AB2" t="str">
        <f>'Grupo F'!Q13</f>
        <v>Japon</v>
      </c>
    </row>
    <row r="3" spans="1:36" x14ac:dyDescent="0.2">
      <c r="F3" t="s">
        <v>147</v>
      </c>
      <c r="G3" t="s">
        <v>148</v>
      </c>
      <c r="H3" t="s">
        <v>149</v>
      </c>
      <c r="I3" t="s">
        <v>150</v>
      </c>
      <c r="J3" t="s">
        <v>151</v>
      </c>
      <c r="K3" t="s">
        <v>152</v>
      </c>
      <c r="L3" t="s">
        <v>153</v>
      </c>
      <c r="N3" t="s">
        <v>148</v>
      </c>
      <c r="O3" t="s">
        <v>149</v>
      </c>
      <c r="P3" t="s">
        <v>150</v>
      </c>
      <c r="Q3" t="s">
        <v>151</v>
      </c>
      <c r="R3" t="s">
        <v>152</v>
      </c>
      <c r="S3" t="s">
        <v>153</v>
      </c>
      <c r="U3" t="s">
        <v>148</v>
      </c>
      <c r="V3" t="s">
        <v>149</v>
      </c>
      <c r="W3" t="s">
        <v>150</v>
      </c>
      <c r="X3" t="s">
        <v>151</v>
      </c>
      <c r="Y3" t="s">
        <v>152</v>
      </c>
      <c r="Z3" t="s">
        <v>153</v>
      </c>
      <c r="AB3" t="s">
        <v>148</v>
      </c>
      <c r="AC3" t="s">
        <v>149</v>
      </c>
      <c r="AD3" t="s">
        <v>150</v>
      </c>
      <c r="AE3" t="s">
        <v>151</v>
      </c>
      <c r="AF3" t="s">
        <v>152</v>
      </c>
      <c r="AG3" t="s">
        <v>153</v>
      </c>
    </row>
    <row r="4" spans="1:36" x14ac:dyDescent="0.2">
      <c r="A4" s="177" t="str">
        <f>'Grupo F'!B6</f>
        <v>Brasil</v>
      </c>
      <c r="B4" s="178">
        <f>'Grupo F'!C6</f>
        <v>0</v>
      </c>
      <c r="C4" s="178" t="str">
        <f>'Grupo F'!D6</f>
        <v>-</v>
      </c>
      <c r="D4" s="178">
        <f>'Grupo F'!E6</f>
        <v>0</v>
      </c>
      <c r="E4" s="179" t="str">
        <f>'Grupo F'!F6</f>
        <v>Croacia</v>
      </c>
      <c r="F4" s="178">
        <f>COUNTBLANK('Grupo F'!C6:E6)</f>
        <v>2</v>
      </c>
      <c r="G4" s="180">
        <f t="shared" ref="G4:G9" si="0">IF(AND(F4=0,OR($A4=$G$2,$E4=$G$2)),1,0)</f>
        <v>0</v>
      </c>
      <c r="H4" s="180">
        <f t="shared" ref="H4:H9" si="1">IF(AND(F4=0,OR(AND($A4=$G$2,$B4&gt;$D4),AND($E4=$G$2,$D4&gt;$B4))),1,0)</f>
        <v>0</v>
      </c>
      <c r="I4" s="180">
        <f t="shared" ref="I4:I9" si="2">IF(AND(F4=0,G4=1,$B4=$D4),1,0)</f>
        <v>0</v>
      </c>
      <c r="J4" s="180">
        <f t="shared" ref="J4:J9" si="3">IF(AND(F4=0,OR(AND($A4=$G$2,$B4&lt;$D4),AND($E4=$G$2,$D4&lt;$B4))),1,0)</f>
        <v>0</v>
      </c>
      <c r="K4" s="180">
        <f t="shared" ref="K4:K9" si="4">IF(F4&gt;0,0,IF($A4=$G$2,$B4,IF($E4=$G$2,$D4,0)))</f>
        <v>0</v>
      </c>
      <c r="L4" s="180">
        <f t="shared" ref="L4:L9" si="5">IF(F4&gt;0,0,IF($A4=$G$2,$D4,IF($E4=$G$2,$B4,0)))</f>
        <v>0</v>
      </c>
      <c r="N4" s="180">
        <f t="shared" ref="N4:N9" si="6">IF(AND(F4=0,OR($A4=$N$2,$E4=$N$2)),1,0)</f>
        <v>0</v>
      </c>
      <c r="O4" s="180">
        <f t="shared" ref="O4:O9" si="7">IF(AND(F4=0,OR(AND($A4=$N$2,$B4&gt;$D4),AND($E4=$N$2,$D4&gt;$B4))),1,0)</f>
        <v>0</v>
      </c>
      <c r="P4" s="180">
        <f t="shared" ref="P4:P9" si="8">IF(AND(F4=0,N4=1,$B4=$D4),1,0)</f>
        <v>0</v>
      </c>
      <c r="Q4" s="180">
        <f t="shared" ref="Q4:Q9" si="9">IF(AND(F4=0,OR(AND($A4=$N$2,$B4&lt;$D4),AND($E4=$N$2,$D4&lt;$B4))),1,0)</f>
        <v>0</v>
      </c>
      <c r="R4" s="180">
        <f t="shared" ref="R4:R9" si="10">IF(F4&gt;0,0,IF($A4=$N$2,$B4,IF($E4=$N$2,$D4,0)))</f>
        <v>0</v>
      </c>
      <c r="S4" s="180">
        <f t="shared" ref="S4:S9" si="11">IF(F4&gt;0,0,IF($A4=$N$2,$D4,IF($E4=$N$2,$B4,0)))</f>
        <v>0</v>
      </c>
      <c r="U4" s="180">
        <f t="shared" ref="U4:U9" si="12">IF(AND(F4=0,OR($A4=$U$2,$E4=$U$2)),1,0)</f>
        <v>0</v>
      </c>
      <c r="V4" s="180">
        <f t="shared" ref="V4:V9" si="13">IF(AND(F4=0,OR(AND($A4=$U$2,$B4&gt;$D4),AND($E4=$U$2,$D4&gt;$B4))),1,0)</f>
        <v>0</v>
      </c>
      <c r="W4" s="180">
        <f t="shared" ref="W4:W9" si="14">IF(AND(F4=0,U4=1,$B4=$D4),1,0)</f>
        <v>0</v>
      </c>
      <c r="X4" s="180">
        <f t="shared" ref="X4:X9" si="15">IF(AND(F4=0,OR(AND($A4=$U$2,$B4&lt;$D4),AND($E4=$U$2,$D4&lt;$B4))),1,0)</f>
        <v>0</v>
      </c>
      <c r="Y4" s="180">
        <f t="shared" ref="Y4:Y9" si="16">IF(F4&gt;0,0,IF($A4=$U$2,$B4,IF($E4=$U$2,$D4,0)))</f>
        <v>0</v>
      </c>
      <c r="Z4" s="180">
        <f t="shared" ref="Z4:Z9" si="17">IF(F4&gt;0,0,IF($A4=$U$2,$D4,IF($E4=$U$2,$B4,0)))</f>
        <v>0</v>
      </c>
      <c r="AB4" s="180">
        <f t="shared" ref="AB4:AB9" si="18">IF(AND(F4=0,OR($A4=$AB$2,$E4=$AB$2)),1,0)</f>
        <v>0</v>
      </c>
      <c r="AC4" s="180">
        <f t="shared" ref="AC4:AC9" si="19">IF(AND(F4=0,OR(AND($A4=$AB$2,$B4&gt;$D4),AND($E4=$AB$2,$D4&gt;$B4))),1,0)</f>
        <v>0</v>
      </c>
      <c r="AD4" s="180">
        <f t="shared" ref="AD4:AD9" si="20">IF(AND(F4=0,AB4=1,$B4=$D4),1,0)</f>
        <v>0</v>
      </c>
      <c r="AE4" s="180">
        <f t="shared" ref="AE4:AE9" si="21">IF(AND(F4=0,OR(AND($A4=$AB$2,$B4&lt;$D4),AND($E4=$AB$2,$D4&lt;$B4))),1,0)</f>
        <v>0</v>
      </c>
      <c r="AF4" s="180">
        <f t="shared" ref="AF4:AF9" si="22">IF(F4&gt;0,0,IF($A4=$AB$2,$B4,IF($E4=$AB$2,$D4,0)))</f>
        <v>0</v>
      </c>
      <c r="AG4" s="180">
        <f t="shared" ref="AG4:AG9" si="23">IF(F4&gt;0,0,IF($A4=$AB$2,$D4,IF($E4=$AB$2,$B4,0)))</f>
        <v>0</v>
      </c>
    </row>
    <row r="5" spans="1:36" x14ac:dyDescent="0.2">
      <c r="A5" s="177" t="str">
        <f>'Grupo F'!B7</f>
        <v>Australia</v>
      </c>
      <c r="B5" s="178">
        <f>'Grupo F'!C7</f>
        <v>0</v>
      </c>
      <c r="C5" s="178" t="str">
        <f>'Grupo F'!D7</f>
        <v>-</v>
      </c>
      <c r="D5" s="178">
        <f>'Grupo F'!E7</f>
        <v>0</v>
      </c>
      <c r="E5" s="179" t="str">
        <f>'Grupo F'!F7</f>
        <v>Japon</v>
      </c>
      <c r="F5" s="178">
        <f>COUNTBLANK('Grupo F'!C7:E7)</f>
        <v>2</v>
      </c>
      <c r="G5" s="180">
        <f t="shared" si="0"/>
        <v>0</v>
      </c>
      <c r="H5" s="180">
        <f t="shared" si="1"/>
        <v>0</v>
      </c>
      <c r="I5" s="180">
        <f t="shared" si="2"/>
        <v>0</v>
      </c>
      <c r="J5" s="180">
        <f t="shared" si="3"/>
        <v>0</v>
      </c>
      <c r="K5" s="180">
        <f t="shared" si="4"/>
        <v>0</v>
      </c>
      <c r="L5" s="180">
        <f t="shared" si="5"/>
        <v>0</v>
      </c>
      <c r="N5" s="180">
        <f t="shared" si="6"/>
        <v>0</v>
      </c>
      <c r="O5" s="180">
        <f t="shared" si="7"/>
        <v>0</v>
      </c>
      <c r="P5" s="180">
        <f t="shared" si="8"/>
        <v>0</v>
      </c>
      <c r="Q5" s="180">
        <f t="shared" si="9"/>
        <v>0</v>
      </c>
      <c r="R5" s="180">
        <f t="shared" si="10"/>
        <v>0</v>
      </c>
      <c r="S5" s="180">
        <f t="shared" si="11"/>
        <v>0</v>
      </c>
      <c r="U5" s="180">
        <f t="shared" si="12"/>
        <v>0</v>
      </c>
      <c r="V5" s="180">
        <f t="shared" si="13"/>
        <v>0</v>
      </c>
      <c r="W5" s="180">
        <f t="shared" si="14"/>
        <v>0</v>
      </c>
      <c r="X5" s="180">
        <f t="shared" si="15"/>
        <v>0</v>
      </c>
      <c r="Y5" s="180">
        <f t="shared" si="16"/>
        <v>0</v>
      </c>
      <c r="Z5" s="180">
        <f t="shared" si="17"/>
        <v>0</v>
      </c>
      <c r="AB5" s="180">
        <f t="shared" si="18"/>
        <v>0</v>
      </c>
      <c r="AC5" s="180">
        <f t="shared" si="19"/>
        <v>0</v>
      </c>
      <c r="AD5" s="180">
        <f t="shared" si="20"/>
        <v>0</v>
      </c>
      <c r="AE5" s="180">
        <f t="shared" si="21"/>
        <v>0</v>
      </c>
      <c r="AF5" s="180">
        <f t="shared" si="22"/>
        <v>0</v>
      </c>
      <c r="AG5" s="180">
        <f t="shared" si="23"/>
        <v>0</v>
      </c>
    </row>
    <row r="6" spans="1:36" x14ac:dyDescent="0.2">
      <c r="A6" s="177" t="str">
        <f>'Grupo F'!B8</f>
        <v>Brasil</v>
      </c>
      <c r="B6" s="178">
        <f>'Grupo F'!C8</f>
        <v>0</v>
      </c>
      <c r="C6" s="178" t="str">
        <f>'Grupo F'!D8</f>
        <v>-</v>
      </c>
      <c r="D6" s="178">
        <f>'Grupo F'!E8</f>
        <v>0</v>
      </c>
      <c r="E6" s="179" t="str">
        <f>'Grupo F'!F8</f>
        <v>Australia</v>
      </c>
      <c r="F6" s="178">
        <f>COUNTBLANK('Grupo F'!C8:E8)</f>
        <v>2</v>
      </c>
      <c r="G6" s="180">
        <f t="shared" si="0"/>
        <v>0</v>
      </c>
      <c r="H6" s="180">
        <f t="shared" si="1"/>
        <v>0</v>
      </c>
      <c r="I6" s="180">
        <f t="shared" si="2"/>
        <v>0</v>
      </c>
      <c r="J6" s="180">
        <f t="shared" si="3"/>
        <v>0</v>
      </c>
      <c r="K6" s="180">
        <f t="shared" si="4"/>
        <v>0</v>
      </c>
      <c r="L6" s="180">
        <f t="shared" si="5"/>
        <v>0</v>
      </c>
      <c r="N6" s="180">
        <f t="shared" si="6"/>
        <v>0</v>
      </c>
      <c r="O6" s="180">
        <f t="shared" si="7"/>
        <v>0</v>
      </c>
      <c r="P6" s="180">
        <f t="shared" si="8"/>
        <v>0</v>
      </c>
      <c r="Q6" s="180">
        <f t="shared" si="9"/>
        <v>0</v>
      </c>
      <c r="R6" s="180">
        <f t="shared" si="10"/>
        <v>0</v>
      </c>
      <c r="S6" s="180">
        <f t="shared" si="11"/>
        <v>0</v>
      </c>
      <c r="U6" s="180">
        <f t="shared" si="12"/>
        <v>0</v>
      </c>
      <c r="V6" s="180">
        <f t="shared" si="13"/>
        <v>0</v>
      </c>
      <c r="W6" s="180">
        <f t="shared" si="14"/>
        <v>0</v>
      </c>
      <c r="X6" s="180">
        <f t="shared" si="15"/>
        <v>0</v>
      </c>
      <c r="Y6" s="180">
        <f t="shared" si="16"/>
        <v>0</v>
      </c>
      <c r="Z6" s="180">
        <f t="shared" si="17"/>
        <v>0</v>
      </c>
      <c r="AB6" s="180">
        <f t="shared" si="18"/>
        <v>0</v>
      </c>
      <c r="AC6" s="180">
        <f t="shared" si="19"/>
        <v>0</v>
      </c>
      <c r="AD6" s="180">
        <f t="shared" si="20"/>
        <v>0</v>
      </c>
      <c r="AE6" s="180">
        <f t="shared" si="21"/>
        <v>0</v>
      </c>
      <c r="AF6" s="180">
        <f t="shared" si="22"/>
        <v>0</v>
      </c>
      <c r="AG6" s="180">
        <f t="shared" si="23"/>
        <v>0</v>
      </c>
    </row>
    <row r="7" spans="1:36" x14ac:dyDescent="0.2">
      <c r="A7" s="177" t="str">
        <f>'Grupo F'!B9</f>
        <v>Japon</v>
      </c>
      <c r="B7" s="178">
        <f>'Grupo F'!C9</f>
        <v>0</v>
      </c>
      <c r="C7" s="178" t="str">
        <f>'Grupo F'!D9</f>
        <v>-</v>
      </c>
      <c r="D7" s="178">
        <f>'Grupo F'!E9</f>
        <v>0</v>
      </c>
      <c r="E7" s="179" t="str">
        <f>'Grupo F'!F9</f>
        <v>Croacia</v>
      </c>
      <c r="F7" s="178">
        <f>COUNTBLANK('Grupo F'!C9:E9)</f>
        <v>2</v>
      </c>
      <c r="G7" s="180">
        <f t="shared" si="0"/>
        <v>0</v>
      </c>
      <c r="H7" s="180">
        <f t="shared" si="1"/>
        <v>0</v>
      </c>
      <c r="I7" s="180">
        <f t="shared" si="2"/>
        <v>0</v>
      </c>
      <c r="J7" s="180">
        <f t="shared" si="3"/>
        <v>0</v>
      </c>
      <c r="K7" s="180">
        <f t="shared" si="4"/>
        <v>0</v>
      </c>
      <c r="L7" s="180">
        <f t="shared" si="5"/>
        <v>0</v>
      </c>
      <c r="N7" s="180">
        <f t="shared" si="6"/>
        <v>0</v>
      </c>
      <c r="O7" s="180">
        <f t="shared" si="7"/>
        <v>0</v>
      </c>
      <c r="P7" s="180">
        <f t="shared" si="8"/>
        <v>0</v>
      </c>
      <c r="Q7" s="180">
        <f t="shared" si="9"/>
        <v>0</v>
      </c>
      <c r="R7" s="180">
        <f t="shared" si="10"/>
        <v>0</v>
      </c>
      <c r="S7" s="180">
        <f t="shared" si="11"/>
        <v>0</v>
      </c>
      <c r="U7" s="180">
        <f t="shared" si="12"/>
        <v>0</v>
      </c>
      <c r="V7" s="180">
        <f t="shared" si="13"/>
        <v>0</v>
      </c>
      <c r="W7" s="180">
        <f t="shared" si="14"/>
        <v>0</v>
      </c>
      <c r="X7" s="180">
        <f t="shared" si="15"/>
        <v>0</v>
      </c>
      <c r="Y7" s="180">
        <f t="shared" si="16"/>
        <v>0</v>
      </c>
      <c r="Z7" s="180">
        <f t="shared" si="17"/>
        <v>0</v>
      </c>
      <c r="AB7" s="180">
        <f t="shared" si="18"/>
        <v>0</v>
      </c>
      <c r="AC7" s="180">
        <f t="shared" si="19"/>
        <v>0</v>
      </c>
      <c r="AD7" s="180">
        <f t="shared" si="20"/>
        <v>0</v>
      </c>
      <c r="AE7" s="180">
        <f t="shared" si="21"/>
        <v>0</v>
      </c>
      <c r="AF7" s="180">
        <f t="shared" si="22"/>
        <v>0</v>
      </c>
      <c r="AG7" s="180">
        <f t="shared" si="23"/>
        <v>0</v>
      </c>
    </row>
    <row r="8" spans="1:36" x14ac:dyDescent="0.2">
      <c r="A8" s="177" t="str">
        <f>'Grupo F'!B10</f>
        <v>Japon</v>
      </c>
      <c r="B8" s="178">
        <f>'Grupo F'!C10</f>
        <v>0</v>
      </c>
      <c r="C8" s="178" t="str">
        <f>'Grupo F'!D10</f>
        <v>-</v>
      </c>
      <c r="D8" s="178">
        <f>'Grupo F'!E10</f>
        <v>0</v>
      </c>
      <c r="E8" s="179" t="str">
        <f>'Grupo F'!F10</f>
        <v>Brasil</v>
      </c>
      <c r="F8" s="178">
        <f>COUNTBLANK('Grupo F'!C10:E10)</f>
        <v>2</v>
      </c>
      <c r="G8" s="180">
        <f t="shared" si="0"/>
        <v>0</v>
      </c>
      <c r="H8" s="180">
        <f t="shared" si="1"/>
        <v>0</v>
      </c>
      <c r="I8" s="180">
        <f t="shared" si="2"/>
        <v>0</v>
      </c>
      <c r="J8" s="180">
        <f t="shared" si="3"/>
        <v>0</v>
      </c>
      <c r="K8" s="180">
        <f t="shared" si="4"/>
        <v>0</v>
      </c>
      <c r="L8" s="180">
        <f t="shared" si="5"/>
        <v>0</v>
      </c>
      <c r="N8" s="180">
        <f t="shared" si="6"/>
        <v>0</v>
      </c>
      <c r="O8" s="180">
        <f t="shared" si="7"/>
        <v>0</v>
      </c>
      <c r="P8" s="180">
        <f t="shared" si="8"/>
        <v>0</v>
      </c>
      <c r="Q8" s="180">
        <f t="shared" si="9"/>
        <v>0</v>
      </c>
      <c r="R8" s="180">
        <f t="shared" si="10"/>
        <v>0</v>
      </c>
      <c r="S8" s="180">
        <f t="shared" si="11"/>
        <v>0</v>
      </c>
      <c r="U8" s="180">
        <f t="shared" si="12"/>
        <v>0</v>
      </c>
      <c r="V8" s="180">
        <f t="shared" si="13"/>
        <v>0</v>
      </c>
      <c r="W8" s="180">
        <f t="shared" si="14"/>
        <v>0</v>
      </c>
      <c r="X8" s="180">
        <f t="shared" si="15"/>
        <v>0</v>
      </c>
      <c r="Y8" s="180">
        <f t="shared" si="16"/>
        <v>0</v>
      </c>
      <c r="Z8" s="180">
        <f t="shared" si="17"/>
        <v>0</v>
      </c>
      <c r="AB8" s="180">
        <f t="shared" si="18"/>
        <v>0</v>
      </c>
      <c r="AC8" s="180">
        <f t="shared" si="19"/>
        <v>0</v>
      </c>
      <c r="AD8" s="180">
        <f t="shared" si="20"/>
        <v>0</v>
      </c>
      <c r="AE8" s="180">
        <f t="shared" si="21"/>
        <v>0</v>
      </c>
      <c r="AF8" s="180">
        <f t="shared" si="22"/>
        <v>0</v>
      </c>
      <c r="AG8" s="180">
        <f t="shared" si="23"/>
        <v>0</v>
      </c>
    </row>
    <row r="9" spans="1:36" x14ac:dyDescent="0.2">
      <c r="A9" s="177" t="str">
        <f>'Grupo F'!B11</f>
        <v>Croacia</v>
      </c>
      <c r="B9" s="178">
        <f>'Grupo F'!C11</f>
        <v>0</v>
      </c>
      <c r="C9" s="178" t="str">
        <f>'Grupo F'!D11</f>
        <v>-</v>
      </c>
      <c r="D9" s="178">
        <f>'Grupo F'!E11</f>
        <v>0</v>
      </c>
      <c r="E9" s="179" t="str">
        <f>'Grupo F'!F11</f>
        <v>Australia</v>
      </c>
      <c r="F9" s="178">
        <f>COUNTBLANK('Grupo F'!C11:E11)</f>
        <v>2</v>
      </c>
      <c r="G9" s="180">
        <f t="shared" si="0"/>
        <v>0</v>
      </c>
      <c r="H9" s="180">
        <f t="shared" si="1"/>
        <v>0</v>
      </c>
      <c r="I9" s="180">
        <f t="shared" si="2"/>
        <v>0</v>
      </c>
      <c r="J9" s="180">
        <f t="shared" si="3"/>
        <v>0</v>
      </c>
      <c r="K9" s="180">
        <f t="shared" si="4"/>
        <v>0</v>
      </c>
      <c r="L9" s="180">
        <f t="shared" si="5"/>
        <v>0</v>
      </c>
      <c r="N9" s="180">
        <f t="shared" si="6"/>
        <v>0</v>
      </c>
      <c r="O9" s="180">
        <f t="shared" si="7"/>
        <v>0</v>
      </c>
      <c r="P9" s="180">
        <f t="shared" si="8"/>
        <v>0</v>
      </c>
      <c r="Q9" s="180">
        <f t="shared" si="9"/>
        <v>0</v>
      </c>
      <c r="R9" s="180">
        <f t="shared" si="10"/>
        <v>0</v>
      </c>
      <c r="S9" s="180">
        <f t="shared" si="11"/>
        <v>0</v>
      </c>
      <c r="U9" s="180">
        <f t="shared" si="12"/>
        <v>0</v>
      </c>
      <c r="V9" s="180">
        <f t="shared" si="13"/>
        <v>0</v>
      </c>
      <c r="W9" s="180">
        <f t="shared" si="14"/>
        <v>0</v>
      </c>
      <c r="X9" s="180">
        <f t="shared" si="15"/>
        <v>0</v>
      </c>
      <c r="Y9" s="180">
        <f t="shared" si="16"/>
        <v>0</v>
      </c>
      <c r="Z9" s="180">
        <f t="shared" si="17"/>
        <v>0</v>
      </c>
      <c r="AB9" s="180">
        <f t="shared" si="18"/>
        <v>0</v>
      </c>
      <c r="AC9" s="180">
        <f t="shared" si="19"/>
        <v>0</v>
      </c>
      <c r="AD9" s="180">
        <f t="shared" si="20"/>
        <v>0</v>
      </c>
      <c r="AE9" s="180">
        <f t="shared" si="21"/>
        <v>0</v>
      </c>
      <c r="AF9" s="180">
        <f t="shared" si="22"/>
        <v>0</v>
      </c>
      <c r="AG9" s="180">
        <f t="shared" si="23"/>
        <v>0</v>
      </c>
    </row>
    <row r="10" spans="1:36" x14ac:dyDescent="0.2">
      <c r="G10" s="180">
        <f t="shared" ref="G10:L10" si="24">SUM(G4:G9)</f>
        <v>0</v>
      </c>
      <c r="H10" s="180">
        <f t="shared" si="24"/>
        <v>0</v>
      </c>
      <c r="I10" s="180">
        <f t="shared" si="24"/>
        <v>0</v>
      </c>
      <c r="J10" s="180">
        <f t="shared" si="24"/>
        <v>0</v>
      </c>
      <c r="K10" s="180">
        <f t="shared" si="24"/>
        <v>0</v>
      </c>
      <c r="L10" s="180">
        <f t="shared" si="24"/>
        <v>0</v>
      </c>
      <c r="M10" s="180">
        <f>H10*3+I10</f>
        <v>0</v>
      </c>
      <c r="N10" s="180">
        <f t="shared" ref="N10:S10" si="25">SUM(N4:N9)</f>
        <v>0</v>
      </c>
      <c r="O10" s="180">
        <f t="shared" si="25"/>
        <v>0</v>
      </c>
      <c r="P10" s="180">
        <f t="shared" si="25"/>
        <v>0</v>
      </c>
      <c r="Q10" s="180">
        <f t="shared" si="25"/>
        <v>0</v>
      </c>
      <c r="R10" s="180">
        <f t="shared" si="25"/>
        <v>0</v>
      </c>
      <c r="S10" s="180">
        <f t="shared" si="25"/>
        <v>0</v>
      </c>
      <c r="T10" s="180">
        <f>O10*3+P10</f>
        <v>0</v>
      </c>
      <c r="U10" s="180">
        <f t="shared" ref="U10:Z10" si="26">SUM(U4:U9)</f>
        <v>0</v>
      </c>
      <c r="V10" s="180">
        <f t="shared" si="26"/>
        <v>0</v>
      </c>
      <c r="W10" s="180">
        <f t="shared" si="26"/>
        <v>0</v>
      </c>
      <c r="X10" s="180">
        <f t="shared" si="26"/>
        <v>0</v>
      </c>
      <c r="Y10" s="180">
        <f t="shared" si="26"/>
        <v>0</v>
      </c>
      <c r="Z10" s="180">
        <f t="shared" si="26"/>
        <v>0</v>
      </c>
      <c r="AA10" s="180">
        <f>V10*3+W10</f>
        <v>0</v>
      </c>
      <c r="AB10" s="180">
        <f t="shared" ref="AB10:AG10" si="27">SUM(AB4:AB9)</f>
        <v>0</v>
      </c>
      <c r="AC10" s="180">
        <f t="shared" si="27"/>
        <v>0</v>
      </c>
      <c r="AD10" s="180">
        <f t="shared" si="27"/>
        <v>0</v>
      </c>
      <c r="AE10" s="180">
        <f t="shared" si="27"/>
        <v>0</v>
      </c>
      <c r="AF10" s="180">
        <f t="shared" si="27"/>
        <v>0</v>
      </c>
      <c r="AG10" s="180">
        <f t="shared" si="27"/>
        <v>0</v>
      </c>
      <c r="AH10" s="180">
        <f>AC10*3+AD10</f>
        <v>0</v>
      </c>
    </row>
    <row r="14" spans="1:36" x14ac:dyDescent="0.2">
      <c r="F14" t="s">
        <v>154</v>
      </c>
    </row>
    <row r="15" spans="1:36" x14ac:dyDescent="0.2">
      <c r="G15" t="s">
        <v>148</v>
      </c>
      <c r="H15" t="s">
        <v>149</v>
      </c>
      <c r="I15" t="s">
        <v>150</v>
      </c>
      <c r="J15" t="s">
        <v>151</v>
      </c>
      <c r="K15" t="s">
        <v>152</v>
      </c>
      <c r="L15" t="s">
        <v>153</v>
      </c>
      <c r="M15" t="s">
        <v>155</v>
      </c>
      <c r="O15" t="s">
        <v>156</v>
      </c>
      <c r="S15" t="s">
        <v>157</v>
      </c>
      <c r="W15" t="s">
        <v>158</v>
      </c>
      <c r="AA15" t="s">
        <v>159</v>
      </c>
      <c r="AE15" t="s">
        <v>160</v>
      </c>
      <c r="AI15" t="s">
        <v>161</v>
      </c>
    </row>
    <row r="16" spans="1:36" x14ac:dyDescent="0.2">
      <c r="F16" t="str">
        <f>G2</f>
        <v>Brasil</v>
      </c>
      <c r="G16" s="180">
        <f t="shared" ref="G16:M16" si="28">G10</f>
        <v>0</v>
      </c>
      <c r="H16" s="180">
        <f t="shared" si="28"/>
        <v>0</v>
      </c>
      <c r="I16" s="180">
        <f t="shared" si="28"/>
        <v>0</v>
      </c>
      <c r="J16" s="180">
        <f t="shared" si="28"/>
        <v>0</v>
      </c>
      <c r="K16" s="180">
        <f t="shared" si="28"/>
        <v>0</v>
      </c>
      <c r="L16" s="180">
        <f t="shared" si="28"/>
        <v>0</v>
      </c>
      <c r="M16" s="180">
        <f t="shared" si="28"/>
        <v>0</v>
      </c>
      <c r="O16" t="str">
        <f>IF($M16&gt;=$M17,$F16,$F17)</f>
        <v>Brasil</v>
      </c>
      <c r="P16" s="180">
        <f>VLOOKUP(O16,$F$16:$M$25,8,FALSE)</f>
        <v>0</v>
      </c>
      <c r="S16" t="str">
        <f>IF($P16&gt;=$P18,$O16,$O18)</f>
        <v>Brasil</v>
      </c>
      <c r="T16" s="180">
        <f>VLOOKUP(S16,$O$16:$P$25,2,FALSE)</f>
        <v>0</v>
      </c>
      <c r="W16" t="str">
        <f>IF($T16&gt;=$T19,$S16,$S19)</f>
        <v>Brasil</v>
      </c>
      <c r="X16" s="180">
        <f>VLOOKUP(W16,$S$16:$T$25,2,FALSE)</f>
        <v>0</v>
      </c>
      <c r="AA16" t="str">
        <f>W16</f>
        <v>Brasil</v>
      </c>
      <c r="AB16" s="180">
        <f>VLOOKUP(AA16,W16:X25,2,FALSE)</f>
        <v>0</v>
      </c>
      <c r="AE16" t="str">
        <f>AA16</f>
        <v>Brasil</v>
      </c>
      <c r="AF16" s="180">
        <f>VLOOKUP(AE16,AA16:AB25,2,FALSE)</f>
        <v>0</v>
      </c>
      <c r="AI16" t="str">
        <f>AE16</f>
        <v>Brasil</v>
      </c>
      <c r="AJ16" s="180">
        <f>VLOOKUP(AI16,AE16:AF25,2,FALSE)</f>
        <v>0</v>
      </c>
    </row>
    <row r="17" spans="6:37" x14ac:dyDescent="0.2">
      <c r="F17" t="str">
        <f>N2</f>
        <v>Croacia</v>
      </c>
      <c r="G17" s="180">
        <f t="shared" ref="G17:M17" si="29">N10</f>
        <v>0</v>
      </c>
      <c r="H17" s="180">
        <f t="shared" si="29"/>
        <v>0</v>
      </c>
      <c r="I17" s="180">
        <f t="shared" si="29"/>
        <v>0</v>
      </c>
      <c r="J17" s="180">
        <f t="shared" si="29"/>
        <v>0</v>
      </c>
      <c r="K17" s="180">
        <f t="shared" si="29"/>
        <v>0</v>
      </c>
      <c r="L17" s="180">
        <f t="shared" si="29"/>
        <v>0</v>
      </c>
      <c r="M17" s="180">
        <f t="shared" si="29"/>
        <v>0</v>
      </c>
      <c r="O17" t="str">
        <f>IF($M17&lt;=$M16,$F17,$F16)</f>
        <v>Croacia</v>
      </c>
      <c r="P17" s="180">
        <f>VLOOKUP(O17,$F$16:$M$25,8,FALSE)</f>
        <v>0</v>
      </c>
      <c r="S17" t="str">
        <f>O17</f>
        <v>Croacia</v>
      </c>
      <c r="T17" s="180">
        <f>VLOOKUP(S17,$O$16:$P$25,2,FALSE)</f>
        <v>0</v>
      </c>
      <c r="W17" t="str">
        <f>S17</f>
        <v>Croacia</v>
      </c>
      <c r="X17" s="180">
        <f>VLOOKUP(W17,$S$16:$T$25,2,FALSE)</f>
        <v>0</v>
      </c>
      <c r="AA17" t="str">
        <f>IF(X17&gt;=X18,W17,W18)</f>
        <v>Croacia</v>
      </c>
      <c r="AB17" s="180">
        <f>VLOOKUP(AA17,W16:X25,2,FALSE)</f>
        <v>0</v>
      </c>
      <c r="AE17" t="str">
        <f>IF(AB17&gt;=AB19,AA17,AA19)</f>
        <v>Croacia</v>
      </c>
      <c r="AF17" s="180">
        <f>VLOOKUP(AE17,AA16:AB25,2,FALSE)</f>
        <v>0</v>
      </c>
      <c r="AI17" t="str">
        <f>AE17</f>
        <v>Croacia</v>
      </c>
      <c r="AJ17" s="180">
        <f>VLOOKUP(AI17,AE16:AF25,2,FALSE)</f>
        <v>0</v>
      </c>
    </row>
    <row r="18" spans="6:37" x14ac:dyDescent="0.2">
      <c r="F18" t="str">
        <f>U2</f>
        <v>Australia</v>
      </c>
      <c r="G18" s="180">
        <f t="shared" ref="G18:M18" si="30">U10</f>
        <v>0</v>
      </c>
      <c r="H18" s="180">
        <f t="shared" si="30"/>
        <v>0</v>
      </c>
      <c r="I18" s="180">
        <f t="shared" si="30"/>
        <v>0</v>
      </c>
      <c r="J18" s="180">
        <f t="shared" si="30"/>
        <v>0</v>
      </c>
      <c r="K18" s="180">
        <f t="shared" si="30"/>
        <v>0</v>
      </c>
      <c r="L18" s="180">
        <f t="shared" si="30"/>
        <v>0</v>
      </c>
      <c r="M18" s="180">
        <f t="shared" si="30"/>
        <v>0</v>
      </c>
      <c r="O18" t="str">
        <f>F18</f>
        <v>Australia</v>
      </c>
      <c r="P18" s="180">
        <f>VLOOKUP(O18,$F$16:$M$25,8,FALSE)</f>
        <v>0</v>
      </c>
      <c r="S18" t="str">
        <f>IF($P18&lt;=$P16,$O18,$O16)</f>
        <v>Australia</v>
      </c>
      <c r="T18" s="180">
        <f>VLOOKUP(S18,$O$16:$P$25,2,FALSE)</f>
        <v>0</v>
      </c>
      <c r="W18" t="str">
        <f>S18</f>
        <v>Australia</v>
      </c>
      <c r="X18" s="180">
        <f>VLOOKUP(W18,$S$16:$T$25,2,FALSE)</f>
        <v>0</v>
      </c>
      <c r="AA18" t="str">
        <f>IF(X18&lt;=X17,W18,W17)</f>
        <v>Australia</v>
      </c>
      <c r="AB18" s="180">
        <f>VLOOKUP(AA18,W16:X25,2,FALSE)</f>
        <v>0</v>
      </c>
      <c r="AE18" t="str">
        <f>AA18</f>
        <v>Australia</v>
      </c>
      <c r="AF18" s="180">
        <f>VLOOKUP(AE18,AA16:AB25,2,FALSE)</f>
        <v>0</v>
      </c>
      <c r="AI18" t="str">
        <f>IF(AF18&gt;=AF19,AE18,AE19)</f>
        <v>Australia</v>
      </c>
      <c r="AJ18" s="180">
        <f>VLOOKUP(AI18,AE16:AF25,2,FALSE)</f>
        <v>0</v>
      </c>
    </row>
    <row r="19" spans="6:37" x14ac:dyDescent="0.2">
      <c r="F19" t="str">
        <f>AB2</f>
        <v>Japon</v>
      </c>
      <c r="G19" s="180">
        <f t="shared" ref="G19:M19" si="31">AB10</f>
        <v>0</v>
      </c>
      <c r="H19" s="180">
        <f t="shared" si="31"/>
        <v>0</v>
      </c>
      <c r="I19" s="180">
        <f t="shared" si="31"/>
        <v>0</v>
      </c>
      <c r="J19" s="180">
        <f t="shared" si="31"/>
        <v>0</v>
      </c>
      <c r="K19" s="180">
        <f t="shared" si="31"/>
        <v>0</v>
      </c>
      <c r="L19" s="180">
        <f t="shared" si="31"/>
        <v>0</v>
      </c>
      <c r="M19" s="180">
        <f t="shared" si="31"/>
        <v>0</v>
      </c>
      <c r="O19" t="str">
        <f>F19</f>
        <v>Japon</v>
      </c>
      <c r="P19" s="180">
        <f>VLOOKUP(O19,$F$16:$M$25,8,FALSE)</f>
        <v>0</v>
      </c>
      <c r="S19" t="str">
        <f>O19</f>
        <v>Japon</v>
      </c>
      <c r="T19" s="180">
        <f>VLOOKUP(S19,$O$16:$P$25,2,FALSE)</f>
        <v>0</v>
      </c>
      <c r="W19" t="str">
        <f>IF($T19&lt;=$T16,$S19,$S16)</f>
        <v>Japon</v>
      </c>
      <c r="X19" s="180">
        <f>VLOOKUP(W19,$S$16:$T$25,2,FALSE)</f>
        <v>0</v>
      </c>
      <c r="AA19" t="str">
        <f>W19</f>
        <v>Japon</v>
      </c>
      <c r="AB19" s="180">
        <f>VLOOKUP(AA19,W16:X25,2,FALSE)</f>
        <v>0</v>
      </c>
      <c r="AE19" t="str">
        <f>IF(AB19&lt;=AB17,AA19,AA17)</f>
        <v>Japon</v>
      </c>
      <c r="AF19" s="180">
        <f>VLOOKUP(AE19,AA16:AB25,2,FALSE)</f>
        <v>0</v>
      </c>
      <c r="AI19" t="str">
        <f>IF(AF19&lt;=AF18,AE19,AE18)</f>
        <v>Japon</v>
      </c>
      <c r="AJ19" s="180">
        <f>VLOOKUP(AI19,AE16:AF25,2,FALSE)</f>
        <v>0</v>
      </c>
    </row>
    <row r="28" spans="6:37" x14ac:dyDescent="0.2">
      <c r="F28" t="str">
        <f>AI16</f>
        <v>Brasil</v>
      </c>
      <c r="J28" s="180">
        <f>AJ16</f>
        <v>0</v>
      </c>
      <c r="K28" s="180">
        <f>VLOOKUP(AI16,$F$16:$M$25,6,FALSE)</f>
        <v>0</v>
      </c>
      <c r="L28" s="180">
        <f>VLOOKUP(AI16,$F$16:$M$25,7,FALSE)</f>
        <v>0</v>
      </c>
      <c r="M28" s="180">
        <f>K28-L28</f>
        <v>0</v>
      </c>
      <c r="O28" t="str">
        <f>IF(AND($J28=$J29,$M29&gt;$M28),$F29,$F28)</f>
        <v>Brasil</v>
      </c>
      <c r="P28" s="180">
        <f>VLOOKUP(O28,$F$28:$M$37,5,FALSE)</f>
        <v>0</v>
      </c>
      <c r="Q28" s="180">
        <f>VLOOKUP(O28,$F$28:$M$37,8,FALSE)</f>
        <v>0</v>
      </c>
      <c r="S28" t="str">
        <f>IF(AND(P28=P30,Q30&gt;Q28),O30,O28)</f>
        <v>Brasil</v>
      </c>
      <c r="T28" s="180">
        <f>VLOOKUP(S28,$O$28:$Q$37,2,FALSE)</f>
        <v>0</v>
      </c>
      <c r="U28" s="180">
        <f>VLOOKUP(S28,$O$28:$Q$37,3,FALSE)</f>
        <v>0</v>
      </c>
      <c r="W28" t="str">
        <f>IF(AND(T28=T31,U31&gt;U28),S31,S28)</f>
        <v>Brasil</v>
      </c>
      <c r="X28" s="180">
        <f>VLOOKUP(W28,$S$28:$U$37,2,FALSE)</f>
        <v>0</v>
      </c>
      <c r="Y28" s="180">
        <f>VLOOKUP(W28,$S$28:$U$37,3,FALSE)</f>
        <v>0</v>
      </c>
      <c r="AA28" t="str">
        <f>W28</f>
        <v>Brasil</v>
      </c>
      <c r="AB28" s="180">
        <f>VLOOKUP(AA28,W28:Y37,2,FALSE)</f>
        <v>0</v>
      </c>
      <c r="AC28" s="180">
        <f>VLOOKUP(AA28,W28:Y37,3,FALSE)</f>
        <v>0</v>
      </c>
      <c r="AE28" t="str">
        <f>AA28</f>
        <v>Brasil</v>
      </c>
      <c r="AF28" s="180">
        <f>VLOOKUP(AE28,AA28:AC37,2,FALSE)</f>
        <v>0</v>
      </c>
      <c r="AG28" s="180">
        <f>VLOOKUP(AE28,AA28:AC37,3,FALSE)</f>
        <v>0</v>
      </c>
      <c r="AI28" t="str">
        <f>AE28</f>
        <v>Brasil</v>
      </c>
      <c r="AJ28" s="180">
        <f>VLOOKUP(AI28,AE28:AG37,2,FALSE)</f>
        <v>0</v>
      </c>
      <c r="AK28" s="180">
        <f>VLOOKUP(AI28,AE28:AG37,3,FALSE)</f>
        <v>0</v>
      </c>
    </row>
    <row r="29" spans="6:37" x14ac:dyDescent="0.2">
      <c r="F29" t="str">
        <f>AI17</f>
        <v>Croacia</v>
      </c>
      <c r="J29" s="180">
        <f>AJ17</f>
        <v>0</v>
      </c>
      <c r="K29" s="180">
        <f>VLOOKUP(AI17,$F$16:$M$25,6,FALSE)</f>
        <v>0</v>
      </c>
      <c r="L29" s="180">
        <f>VLOOKUP(AI17,$F$16:$M$25,7,FALSE)</f>
        <v>0</v>
      </c>
      <c r="M29" s="180">
        <f>K29-L29</f>
        <v>0</v>
      </c>
      <c r="O29" t="str">
        <f>IF(AND($J28=$J29,$M29&gt;$M28),$F28,$F29)</f>
        <v>Croacia</v>
      </c>
      <c r="P29" s="180">
        <f>VLOOKUP(O29,$F$28:$M$37,5,FALSE)</f>
        <v>0</v>
      </c>
      <c r="Q29" s="180">
        <f>VLOOKUP(O29,$F$28:$M$37,8,FALSE)</f>
        <v>0</v>
      </c>
      <c r="S29" t="str">
        <f>O29</f>
        <v>Croacia</v>
      </c>
      <c r="T29" s="180">
        <f>VLOOKUP(S29,$O$28:$Q$37,2,FALSE)</f>
        <v>0</v>
      </c>
      <c r="U29" s="180">
        <f>VLOOKUP(S29,$O$28:$Q$37,3,FALSE)</f>
        <v>0</v>
      </c>
      <c r="W29" t="str">
        <f>S29</f>
        <v>Croacia</v>
      </c>
      <c r="X29" s="180">
        <f>VLOOKUP(W29,$S$28:$U$37,2,FALSE)</f>
        <v>0</v>
      </c>
      <c r="Y29" s="180">
        <f>VLOOKUP(W29,$S$28:$U$37,3,FALSE)</f>
        <v>0</v>
      </c>
      <c r="AA29" t="str">
        <f>IF(AND(X29=X30,Y30&gt;Y29),W30,W29)</f>
        <v>Croacia</v>
      </c>
      <c r="AB29" s="180">
        <f>VLOOKUP(AA29,W28:Y37,2,FALSE)</f>
        <v>0</v>
      </c>
      <c r="AC29" s="180">
        <f>VLOOKUP(AA29,W28:Y37,3,FALSE)</f>
        <v>0</v>
      </c>
      <c r="AE29" t="str">
        <f>IF(AND(AB29=AB31,AC31&gt;AC29),AA31,AA29)</f>
        <v>Croacia</v>
      </c>
      <c r="AF29" s="180">
        <f>VLOOKUP(AE29,AA28:AC37,2,FALSE)</f>
        <v>0</v>
      </c>
      <c r="AG29" s="180">
        <f>VLOOKUP(AE29,AA28:AC37,3,FALSE)</f>
        <v>0</v>
      </c>
      <c r="AI29" t="str">
        <f>AE29</f>
        <v>Croacia</v>
      </c>
      <c r="AJ29" s="180">
        <f>VLOOKUP(AI29,AE28:AG37,2,FALSE)</f>
        <v>0</v>
      </c>
      <c r="AK29" s="180">
        <f>VLOOKUP(AI29,AE28:AG37,3,FALSE)</f>
        <v>0</v>
      </c>
    </row>
    <row r="30" spans="6:37" x14ac:dyDescent="0.2">
      <c r="F30" t="str">
        <f>AI18</f>
        <v>Australia</v>
      </c>
      <c r="J30" s="180">
        <f>AJ18</f>
        <v>0</v>
      </c>
      <c r="K30" s="180">
        <f>VLOOKUP(AI18,$F$16:$M$25,6,FALSE)</f>
        <v>0</v>
      </c>
      <c r="L30" s="180">
        <f>VLOOKUP(AI18,$F$16:$M$25,7,FALSE)</f>
        <v>0</v>
      </c>
      <c r="M30" s="180">
        <f>K30-L30</f>
        <v>0</v>
      </c>
      <c r="O30" t="str">
        <f>F30</f>
        <v>Australia</v>
      </c>
      <c r="P30" s="180">
        <f>VLOOKUP(O30,$F$28:$M$37,5,FALSE)</f>
        <v>0</v>
      </c>
      <c r="Q30" s="180">
        <f>VLOOKUP(O30,$F$28:$M$37,8,FALSE)</f>
        <v>0</v>
      </c>
      <c r="S30" t="str">
        <f>IF(AND($P28=P30,Q30&gt;Q28),O28,O30)</f>
        <v>Australia</v>
      </c>
      <c r="T30" s="180">
        <f>VLOOKUP(S30,$O$28:$Q$37,2,FALSE)</f>
        <v>0</v>
      </c>
      <c r="U30" s="180">
        <f>VLOOKUP(S30,$O$28:$Q$37,3,FALSE)</f>
        <v>0</v>
      </c>
      <c r="W30" t="str">
        <f>S30</f>
        <v>Australia</v>
      </c>
      <c r="X30" s="180">
        <f>VLOOKUP(W30,$S$28:$U$37,2,FALSE)</f>
        <v>0</v>
      </c>
      <c r="Y30" s="180">
        <f>VLOOKUP(W30,$S$28:$U$37,3,FALSE)</f>
        <v>0</v>
      </c>
      <c r="AA30" t="str">
        <f>IF(AND(X29=X30,Y30&gt;Y29),W29,W30)</f>
        <v>Australia</v>
      </c>
      <c r="AB30" s="180">
        <f>VLOOKUP(AA30,W28:Y37,2,FALSE)</f>
        <v>0</v>
      </c>
      <c r="AC30" s="180">
        <f>VLOOKUP(AA30,W28:Y37,3,FALSE)</f>
        <v>0</v>
      </c>
      <c r="AE30" t="str">
        <f>AA30</f>
        <v>Australia</v>
      </c>
      <c r="AF30" s="180">
        <f>VLOOKUP(AE30,AA28:AC37,2,FALSE)</f>
        <v>0</v>
      </c>
      <c r="AG30" s="180">
        <f>VLOOKUP(AE30,AA28:AC37,3,FALSE)</f>
        <v>0</v>
      </c>
      <c r="AI30" t="str">
        <f>IF(AND(AF30=AF31,AG31&gt;AG30),AE31,AE30)</f>
        <v>Australia</v>
      </c>
      <c r="AJ30" s="180">
        <f>VLOOKUP(AI30,AE28:AG37,2,FALSE)</f>
        <v>0</v>
      </c>
      <c r="AK30" s="180">
        <f>VLOOKUP(AI30,AE28:AG37,3,FALSE)</f>
        <v>0</v>
      </c>
    </row>
    <row r="31" spans="6:37" x14ac:dyDescent="0.2">
      <c r="F31" t="str">
        <f>AI19</f>
        <v>Japon</v>
      </c>
      <c r="J31" s="180">
        <f>AJ19</f>
        <v>0</v>
      </c>
      <c r="K31" s="180">
        <f>VLOOKUP(AI19,$F$16:$M$25,6,FALSE)</f>
        <v>0</v>
      </c>
      <c r="L31" s="180">
        <f>VLOOKUP(AI19,$F$16:$M$25,7,FALSE)</f>
        <v>0</v>
      </c>
      <c r="M31" s="180">
        <f>K31-L31</f>
        <v>0</v>
      </c>
      <c r="O31" t="str">
        <f>F31</f>
        <v>Japon</v>
      </c>
      <c r="P31" s="180">
        <f>VLOOKUP(O31,$F$28:$M$37,5,FALSE)</f>
        <v>0</v>
      </c>
      <c r="Q31" s="180">
        <f>VLOOKUP(O31,$F$28:$M$37,8,FALSE)</f>
        <v>0</v>
      </c>
      <c r="S31" t="str">
        <f>O31</f>
        <v>Japon</v>
      </c>
      <c r="T31" s="180">
        <f>VLOOKUP(S31,$O$28:$Q$37,2,FALSE)</f>
        <v>0</v>
      </c>
      <c r="U31" s="180">
        <f>VLOOKUP(S31,$O$28:$Q$37,3,FALSE)</f>
        <v>0</v>
      </c>
      <c r="W31" t="str">
        <f>IF(AND(T28=T31,U31&gt;U28),S28,S31)</f>
        <v>Japon</v>
      </c>
      <c r="X31" s="180">
        <f>VLOOKUP(W31,$S$28:$U$37,2,FALSE)</f>
        <v>0</v>
      </c>
      <c r="Y31" s="180">
        <f>VLOOKUP(W31,$S$28:$U$37,3,FALSE)</f>
        <v>0</v>
      </c>
      <c r="AA31" t="str">
        <f>W31</f>
        <v>Japon</v>
      </c>
      <c r="AB31" s="180">
        <f>VLOOKUP(AA31,W28:Y37,2,FALSE)</f>
        <v>0</v>
      </c>
      <c r="AC31" s="180">
        <f>VLOOKUP(AA31,W28:Y37,3,FALSE)</f>
        <v>0</v>
      </c>
      <c r="AE31" t="str">
        <f>IF(AND(AB29=AB31,AC31&gt;AC29),AA29,AA31)</f>
        <v>Japon</v>
      </c>
      <c r="AF31" s="180">
        <f>VLOOKUP(AE31,AA28:AC37,2,FALSE)</f>
        <v>0</v>
      </c>
      <c r="AG31" s="180">
        <f>VLOOKUP(AE31,AA28:AC37,3,FALSE)</f>
        <v>0</v>
      </c>
      <c r="AI31" t="str">
        <f>IF(AND(AF30=AF31,AG31&gt;AG30),AE30,AE31)</f>
        <v>Japon</v>
      </c>
      <c r="AJ31" s="180">
        <f>VLOOKUP(AI31,AE28:AG37,2,FALSE)</f>
        <v>0</v>
      </c>
      <c r="AK31" s="180">
        <f>VLOOKUP(AI31,AE28:AG37,3,FALSE)</f>
        <v>0</v>
      </c>
    </row>
    <row r="40" spans="6:38" x14ac:dyDescent="0.2">
      <c r="F40" t="str">
        <f>AI28</f>
        <v>Brasil</v>
      </c>
      <c r="J40" s="180">
        <f>VLOOKUP(F40,$F$16:$M$25,8,FALSE)</f>
        <v>0</v>
      </c>
      <c r="K40" s="180">
        <f>VLOOKUP(F40,$F$16:$M$25,6,FALSE)</f>
        <v>0</v>
      </c>
      <c r="L40" s="180">
        <f>VLOOKUP(F40,$F$16:$M$25,7,FALSE)</f>
        <v>0</v>
      </c>
      <c r="M40" s="180">
        <f>K40-L40</f>
        <v>0</v>
      </c>
      <c r="O40" t="str">
        <f>IF(AND(J40=J41,M40=M41,K41&gt;K40),F41,F40)</f>
        <v>Brasil</v>
      </c>
      <c r="P40" s="180">
        <f>VLOOKUP(O40,$F$40:$M$49,5,FALSE)</f>
        <v>0</v>
      </c>
      <c r="Q40" s="180">
        <f>VLOOKUP(O40,$F$40:$M$49,8,FALSE)</f>
        <v>0</v>
      </c>
      <c r="R40" s="180">
        <f>VLOOKUP(O40,$F$40:$M$49,6,FALSE)</f>
        <v>0</v>
      </c>
      <c r="S40" t="str">
        <f>IF(AND(P40=P42,Q40=Q42,R42&gt;R40),O42,O40)</f>
        <v>Brasil</v>
      </c>
      <c r="T40" s="180">
        <f>VLOOKUP(S40,$O$40:$R$49,2,FALSE)</f>
        <v>0</v>
      </c>
      <c r="U40" s="180">
        <f>VLOOKUP(S40,$O$40:$R$49,3,FALSE)</f>
        <v>0</v>
      </c>
      <c r="V40" s="180">
        <f>VLOOKUP(S40,$O$40:$R$49,4,FALSE)</f>
        <v>0</v>
      </c>
      <c r="W40" t="str">
        <f>IF(AND(T40=T43,U40=U43,V43&gt;V40),S43,S40)</f>
        <v>Brasil</v>
      </c>
      <c r="X40" s="180">
        <f>VLOOKUP(W40,$S$40:$V$49,2,FALSE)</f>
        <v>0</v>
      </c>
      <c r="Y40" s="180">
        <f>VLOOKUP(W40,$S$40:$V$49,3,FALSE)</f>
        <v>0</v>
      </c>
      <c r="Z40" s="180">
        <f>VLOOKUP(W40,$S$40:$V$49,4,FALSE)</f>
        <v>0</v>
      </c>
      <c r="AA40" t="str">
        <f>W40</f>
        <v>Brasil</v>
      </c>
      <c r="AB40" s="180">
        <f>VLOOKUP(AA40,W40:Z49,2,FALSE)</f>
        <v>0</v>
      </c>
      <c r="AC40" s="180">
        <f>VLOOKUP(AA40,W40:Z49,3,FALSE)</f>
        <v>0</v>
      </c>
      <c r="AD40" s="180">
        <f>VLOOKUP(AA40,W40:Z49,4,FALSE)</f>
        <v>0</v>
      </c>
      <c r="AE40" t="str">
        <f>AA40</f>
        <v>Brasil</v>
      </c>
      <c r="AF40" s="180">
        <f>VLOOKUP(AE40,AA40:AD49,2,FALSE)</f>
        <v>0</v>
      </c>
      <c r="AG40" s="180">
        <f>VLOOKUP(AE40,AA40:AD49,3,FALSE)</f>
        <v>0</v>
      </c>
      <c r="AH40" s="180">
        <f>VLOOKUP(AE40,AA40:AD49,4,FALSE)</f>
        <v>0</v>
      </c>
      <c r="AI40" t="str">
        <f>AE40</f>
        <v>Brasil</v>
      </c>
      <c r="AJ40" s="180">
        <f>VLOOKUP(AI40,AE40:AH49,2,FALSE)</f>
        <v>0</v>
      </c>
      <c r="AK40" s="180">
        <f>VLOOKUP(AI40,AE40:AH49,3,FALSE)</f>
        <v>0</v>
      </c>
      <c r="AL40" s="180">
        <f>VLOOKUP(AI40,AE40:AH49,4,FALSE)</f>
        <v>0</v>
      </c>
    </row>
    <row r="41" spans="6:38" x14ac:dyDescent="0.2">
      <c r="F41" t="str">
        <f>AI29</f>
        <v>Croacia</v>
      </c>
      <c r="J41" s="180">
        <f>VLOOKUP(F41,$F$16:$M$25,8,FALSE)</f>
        <v>0</v>
      </c>
      <c r="K41" s="180">
        <f>VLOOKUP(F41,$F$16:$M$25,6,FALSE)</f>
        <v>0</v>
      </c>
      <c r="L41" s="180">
        <f>VLOOKUP(F41,$F$16:$M$25,7,FALSE)</f>
        <v>0</v>
      </c>
      <c r="M41" s="180">
        <f>K41-L41</f>
        <v>0</v>
      </c>
      <c r="O41" t="str">
        <f>IF(AND(J40=J41,M40=M41,K41&gt;K40),F40,F41)</f>
        <v>Croacia</v>
      </c>
      <c r="P41" s="180">
        <f>VLOOKUP(O41,$F$40:$M$49,5,FALSE)</f>
        <v>0</v>
      </c>
      <c r="Q41" s="180">
        <f>VLOOKUP(O41,$F$40:$M$49,8,FALSE)</f>
        <v>0</v>
      </c>
      <c r="R41" s="180">
        <f>VLOOKUP(O41,$F$40:$M$49,6,FALSE)</f>
        <v>0</v>
      </c>
      <c r="S41" t="str">
        <f>O41</f>
        <v>Croacia</v>
      </c>
      <c r="T41" s="180">
        <f>VLOOKUP(S41,$O$40:$R$49,2,FALSE)</f>
        <v>0</v>
      </c>
      <c r="U41" s="180">
        <f>VLOOKUP(S41,$O$40:$R$49,3,FALSE)</f>
        <v>0</v>
      </c>
      <c r="V41" s="180">
        <f>VLOOKUP(S41,$O$40:$R$49,4,FALSE)</f>
        <v>0</v>
      </c>
      <c r="W41" t="str">
        <f>S41</f>
        <v>Croacia</v>
      </c>
      <c r="X41" s="180">
        <f>VLOOKUP(W41,$S$40:$V$49,2,FALSE)</f>
        <v>0</v>
      </c>
      <c r="Y41" s="180">
        <f>VLOOKUP(W41,$S$40:$V$49,3,FALSE)</f>
        <v>0</v>
      </c>
      <c r="Z41" s="180">
        <f>VLOOKUP(W41,$S$40:$V$49,4,FALSE)</f>
        <v>0</v>
      </c>
      <c r="AA41" t="str">
        <f>IF(AND(X41=X42,Y41=Y42,Z42&gt;Z41),W42,W41)</f>
        <v>Croacia</v>
      </c>
      <c r="AB41" s="180">
        <f>VLOOKUP(AA41,W40:Z49,2,FALSE)</f>
        <v>0</v>
      </c>
      <c r="AC41" s="180">
        <f>VLOOKUP(AA41,W40:Z49,3,FALSE)</f>
        <v>0</v>
      </c>
      <c r="AD41" s="180">
        <f>VLOOKUP(AA41,W40:Z49,4,FALSE)</f>
        <v>0</v>
      </c>
      <c r="AE41" t="str">
        <f>IF(AND(AB41=AB43,AC41=AC43,AD43&gt;AD41),AA43,AA41)</f>
        <v>Croacia</v>
      </c>
      <c r="AF41" s="180">
        <f>VLOOKUP(AE41,AA40:AD49,2,FALSE)</f>
        <v>0</v>
      </c>
      <c r="AG41" s="180">
        <f>VLOOKUP(AE41,AA40:AD49,3,FALSE)</f>
        <v>0</v>
      </c>
      <c r="AH41" s="180">
        <f>VLOOKUP(AE41,AA40:AD49,4,FALSE)</f>
        <v>0</v>
      </c>
      <c r="AI41" t="str">
        <f>AE41</f>
        <v>Croacia</v>
      </c>
      <c r="AJ41" s="180">
        <f>VLOOKUP(AI41,AE40:AH49,2,FALSE)</f>
        <v>0</v>
      </c>
      <c r="AK41" s="180">
        <f>VLOOKUP(AI41,AE40:AH49,3,FALSE)</f>
        <v>0</v>
      </c>
      <c r="AL41" s="180">
        <f>VLOOKUP(AI41,AE40:AH49,4,FALSE)</f>
        <v>0</v>
      </c>
    </row>
    <row r="42" spans="6:38" x14ac:dyDescent="0.2">
      <c r="F42" t="str">
        <f>AI30</f>
        <v>Australia</v>
      </c>
      <c r="J42" s="180">
        <f>VLOOKUP(F42,$F$16:$M$25,8,FALSE)</f>
        <v>0</v>
      </c>
      <c r="K42" s="180">
        <f>VLOOKUP(F42,$F$16:$M$25,6,FALSE)</f>
        <v>0</v>
      </c>
      <c r="L42" s="180">
        <f>VLOOKUP(F42,$F$16:$M$25,7,FALSE)</f>
        <v>0</v>
      </c>
      <c r="M42" s="180">
        <f>K42-L42</f>
        <v>0</v>
      </c>
      <c r="O42" t="str">
        <f>F42</f>
        <v>Australia</v>
      </c>
      <c r="P42" s="180">
        <f>VLOOKUP(O42,$F$40:$M$49,5,FALSE)</f>
        <v>0</v>
      </c>
      <c r="Q42" s="180">
        <f>VLOOKUP(O42,$F$40:$M$49,8,FALSE)</f>
        <v>0</v>
      </c>
      <c r="R42" s="180">
        <f>VLOOKUP(O42,$F$40:$M$49,6,FALSE)</f>
        <v>0</v>
      </c>
      <c r="S42" t="str">
        <f>IF(AND(P40=P42,Q40=Q42,R42&gt;R40),O40,O42)</f>
        <v>Australia</v>
      </c>
      <c r="T42" s="180">
        <f>VLOOKUP(S42,$O$40:$R$49,2,FALSE)</f>
        <v>0</v>
      </c>
      <c r="U42" s="180">
        <f>VLOOKUP(S42,$O$40:$R$49,3,FALSE)</f>
        <v>0</v>
      </c>
      <c r="V42" s="180">
        <f>VLOOKUP(S42,$O$40:$R$49,4,FALSE)</f>
        <v>0</v>
      </c>
      <c r="W42" t="str">
        <f>S42</f>
        <v>Australia</v>
      </c>
      <c r="X42" s="180">
        <f>VLOOKUP(W42,$S$40:$V$49,2,FALSE)</f>
        <v>0</v>
      </c>
      <c r="Y42" s="180">
        <f>VLOOKUP(W42,$S$40:$V$49,3,FALSE)</f>
        <v>0</v>
      </c>
      <c r="Z42" s="180">
        <f>VLOOKUP(W42,$S$40:$V$49,4,FALSE)</f>
        <v>0</v>
      </c>
      <c r="AA42" t="str">
        <f>IF(AND(X41=X42,Y41=Y42,Z42&gt;Z41),W41,W42)</f>
        <v>Australia</v>
      </c>
      <c r="AB42" s="180">
        <f>VLOOKUP(AA42,W40:Z49,2,FALSE)</f>
        <v>0</v>
      </c>
      <c r="AC42" s="180">
        <f>VLOOKUP(AA42,W40:Z49,3,FALSE)</f>
        <v>0</v>
      </c>
      <c r="AD42" s="180">
        <f>VLOOKUP(AA42,W40:Z49,4,FALSE)</f>
        <v>0</v>
      </c>
      <c r="AE42" t="str">
        <f>AA42</f>
        <v>Australia</v>
      </c>
      <c r="AF42" s="180">
        <f>VLOOKUP(AE42,AA40:AD49,2,FALSE)</f>
        <v>0</v>
      </c>
      <c r="AG42" s="180">
        <f>VLOOKUP(AE42,AA40:AD49,3,FALSE)</f>
        <v>0</v>
      </c>
      <c r="AH42" s="180">
        <f>VLOOKUP(AE42,AA40:AD49,4,FALSE)</f>
        <v>0</v>
      </c>
      <c r="AI42" t="str">
        <f>IF(AND(AF42=AF43,AG42=AG43,AH43&gt;AH42),AE43,AE42)</f>
        <v>Australia</v>
      </c>
      <c r="AJ42" s="180">
        <f>VLOOKUP(AI42,AE40:AH49,2,FALSE)</f>
        <v>0</v>
      </c>
      <c r="AK42" s="180">
        <f>VLOOKUP(AI42,AE40:AH49,3,FALSE)</f>
        <v>0</v>
      </c>
      <c r="AL42" s="180">
        <f>VLOOKUP(AI42,AE40:AH49,4,FALSE)</f>
        <v>0</v>
      </c>
    </row>
    <row r="43" spans="6:38" x14ac:dyDescent="0.2">
      <c r="F43" t="str">
        <f>AI31</f>
        <v>Japon</v>
      </c>
      <c r="J43" s="180">
        <f>VLOOKUP(F43,$F$16:$M$25,8,FALSE)</f>
        <v>0</v>
      </c>
      <c r="K43" s="180">
        <f>VLOOKUP(F43,$F$16:$M$25,6,FALSE)</f>
        <v>0</v>
      </c>
      <c r="L43" s="180">
        <f>VLOOKUP(F43,$F$16:$M$25,7,FALSE)</f>
        <v>0</v>
      </c>
      <c r="M43" s="180">
        <f>K43-L43</f>
        <v>0</v>
      </c>
      <c r="O43" t="str">
        <f>F43</f>
        <v>Japon</v>
      </c>
      <c r="P43" s="180">
        <f>VLOOKUP(O43,$F$40:$M$49,5,FALSE)</f>
        <v>0</v>
      </c>
      <c r="Q43" s="180">
        <f>VLOOKUP(O43,$F$40:$M$49,8,FALSE)</f>
        <v>0</v>
      </c>
      <c r="R43" s="180">
        <f>VLOOKUP(O43,$F$40:$M$49,6,FALSE)</f>
        <v>0</v>
      </c>
      <c r="S43" t="str">
        <f>O43</f>
        <v>Japon</v>
      </c>
      <c r="T43" s="180">
        <f>VLOOKUP(S43,$O$40:$R$49,2,FALSE)</f>
        <v>0</v>
      </c>
      <c r="U43" s="180">
        <f>VLOOKUP(S43,$O$40:$R$49,3,FALSE)</f>
        <v>0</v>
      </c>
      <c r="V43" s="180">
        <f>VLOOKUP(S43,$O$40:$R$49,4,FALSE)</f>
        <v>0</v>
      </c>
      <c r="W43" t="str">
        <f>IF(AND(T40=T43,U40=U43,V43&gt;V40),S40,S43)</f>
        <v>Japon</v>
      </c>
      <c r="X43" s="180">
        <f>VLOOKUP(W43,$S$40:$V$49,2,FALSE)</f>
        <v>0</v>
      </c>
      <c r="Y43" s="180">
        <f>VLOOKUP(W43,$S$40:$V$49,3,FALSE)</f>
        <v>0</v>
      </c>
      <c r="Z43" s="180">
        <f>VLOOKUP(W43,$S$40:$V$49,4,FALSE)</f>
        <v>0</v>
      </c>
      <c r="AA43" t="str">
        <f>W43</f>
        <v>Japon</v>
      </c>
      <c r="AB43" s="180">
        <f>VLOOKUP(AA43,W40:Z49,2,FALSE)</f>
        <v>0</v>
      </c>
      <c r="AC43" s="180">
        <f>VLOOKUP(AA43,W40:Z49,3,FALSE)</f>
        <v>0</v>
      </c>
      <c r="AD43" s="180">
        <f>VLOOKUP(AA43,W40:Z49,4,FALSE)</f>
        <v>0</v>
      </c>
      <c r="AE43" t="str">
        <f>IF(AND(AB41=AB43,AC41=AC43,AD43&gt;AD41),AA41,AA43)</f>
        <v>Japon</v>
      </c>
      <c r="AF43" s="180">
        <f>VLOOKUP(AE43,AA40:AD49,2,FALSE)</f>
        <v>0</v>
      </c>
      <c r="AG43" s="180">
        <f>VLOOKUP(AE43,AA40:AD49,3,FALSE)</f>
        <v>0</v>
      </c>
      <c r="AH43" s="180">
        <f>VLOOKUP(AE43,AA40:AD49,4,FALSE)</f>
        <v>0</v>
      </c>
      <c r="AI43" t="str">
        <f>IF(AND(AF42=AF43,AG42=AG43,AH43&gt;AH42),AE42,AE43)</f>
        <v>Japon</v>
      </c>
      <c r="AJ43" s="180">
        <f>VLOOKUP(AI43,AE40:AH49,2,FALSE)</f>
        <v>0</v>
      </c>
      <c r="AK43" s="180">
        <f>VLOOKUP(AI43,AE40:AH49,3,FALSE)</f>
        <v>0</v>
      </c>
      <c r="AL43" s="180">
        <f>VLOOKUP(AI43,AE40:AH49,4,FALSE)</f>
        <v>0</v>
      </c>
    </row>
    <row r="51" spans="6:13" x14ac:dyDescent="0.2">
      <c r="F51" t="s">
        <v>162</v>
      </c>
    </row>
    <row r="52" spans="6:13" x14ac:dyDescent="0.2">
      <c r="F52" t="str">
        <f>AI40</f>
        <v>Brasil</v>
      </c>
      <c r="G52" s="180">
        <f>VLOOKUP(F52,$F$16:$M$25,2,FALSE)</f>
        <v>0</v>
      </c>
      <c r="H52" s="180">
        <f>VLOOKUP(F52,$F$16:$M$25,3,FALSE)</f>
        <v>0</v>
      </c>
      <c r="I52" s="180">
        <f>VLOOKUP(F52,$F$16:$M$25,4,FALSE)</f>
        <v>0</v>
      </c>
      <c r="J52" s="180">
        <f>VLOOKUP(F52,$F$16:$M$25,5,FALSE)</f>
        <v>0</v>
      </c>
      <c r="K52" s="180">
        <f>VLOOKUP(F52,$F$16:$M$25,6,FALSE)</f>
        <v>0</v>
      </c>
      <c r="L52" s="180">
        <f>VLOOKUP(F52,$F$16:$M$25,7,FALSE)</f>
        <v>0</v>
      </c>
      <c r="M52" s="180">
        <f>VLOOKUP(F52,$F$16:$M$25,8,FALSE)</f>
        <v>0</v>
      </c>
    </row>
    <row r="53" spans="6:13" x14ac:dyDescent="0.2">
      <c r="F53" t="str">
        <f>AI41</f>
        <v>Croacia</v>
      </c>
      <c r="G53" s="180">
        <f>VLOOKUP(F53,$F$16:$M$25,2,FALSE)</f>
        <v>0</v>
      </c>
      <c r="H53" s="180">
        <f>VLOOKUP(F53,$F$16:$M$25,3,FALSE)</f>
        <v>0</v>
      </c>
      <c r="I53" s="180">
        <f>VLOOKUP(F53,$F$16:$M$25,4,FALSE)</f>
        <v>0</v>
      </c>
      <c r="J53" s="180">
        <f>VLOOKUP(F53,$F$16:$M$25,5,FALSE)</f>
        <v>0</v>
      </c>
      <c r="K53" s="180">
        <f>VLOOKUP(F53,$F$16:$M$25,6,FALSE)</f>
        <v>0</v>
      </c>
      <c r="L53" s="180">
        <f>VLOOKUP(F53,$F$16:$M$25,7,FALSE)</f>
        <v>0</v>
      </c>
      <c r="M53" s="180">
        <f>VLOOKUP(F53,$F$16:$M$25,8,FALSE)</f>
        <v>0</v>
      </c>
    </row>
    <row r="54" spans="6:13" x14ac:dyDescent="0.2">
      <c r="F54" t="str">
        <f>AI42</f>
        <v>Australia</v>
      </c>
      <c r="G54" s="180">
        <f>VLOOKUP(F54,$F$16:$M$25,2,FALSE)</f>
        <v>0</v>
      </c>
      <c r="H54" s="180">
        <f>VLOOKUP(F54,$F$16:$M$25,3,FALSE)</f>
        <v>0</v>
      </c>
      <c r="I54" s="180">
        <f>VLOOKUP(F54,$F$16:$M$25,4,FALSE)</f>
        <v>0</v>
      </c>
      <c r="J54" s="180">
        <f>VLOOKUP(F54,$F$16:$M$25,5,FALSE)</f>
        <v>0</v>
      </c>
      <c r="K54" s="180">
        <f>VLOOKUP(F54,$F$16:$M$25,6,FALSE)</f>
        <v>0</v>
      </c>
      <c r="L54" s="180">
        <f>VLOOKUP(F54,$F$16:$M$25,7,FALSE)</f>
        <v>0</v>
      </c>
      <c r="M54" s="180">
        <f>VLOOKUP(F54,$F$16:$M$25,8,FALSE)</f>
        <v>0</v>
      </c>
    </row>
    <row r="55" spans="6:13" x14ac:dyDescent="0.2">
      <c r="F55" t="str">
        <f>AI43</f>
        <v>Japon</v>
      </c>
      <c r="G55" s="180">
        <f>VLOOKUP(F55,$F$16:$M$25,2,FALSE)</f>
        <v>0</v>
      </c>
      <c r="H55" s="180">
        <f>VLOOKUP(F55,$F$16:$M$25,3,FALSE)</f>
        <v>0</v>
      </c>
      <c r="I55" s="180">
        <f>VLOOKUP(F55,$F$16:$M$25,4,FALSE)</f>
        <v>0</v>
      </c>
      <c r="J55" s="180">
        <f>VLOOKUP(F55,$F$16:$M$25,5,FALSE)</f>
        <v>0</v>
      </c>
      <c r="K55" s="180">
        <f>VLOOKUP(F55,$F$16:$M$25,6,FALSE)</f>
        <v>0</v>
      </c>
      <c r="L55" s="180">
        <f>VLOOKUP(F55,$F$16:$M$25,7,FALSE)</f>
        <v>0</v>
      </c>
      <c r="M55" s="180">
        <f>VLOOKUP(F55,$F$16:$M$25,8,FALSE)</f>
        <v>0</v>
      </c>
    </row>
  </sheetData>
  <mergeCells count="1">
    <mergeCell ref="A2:E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55"/>
  <sheetViews>
    <sheetView showGridLines="0" showRowColHeaders="0" showOutlineSymbols="0" workbookViewId="0">
      <pane xSplit="5" topLeftCell="F1" activePane="topRight" state="frozen"/>
      <selection pane="topRight"/>
    </sheetView>
  </sheetViews>
  <sheetFormatPr baseColWidth="10" defaultColWidth="3.7109375" defaultRowHeight="12.75" x14ac:dyDescent="0.2"/>
  <cols>
    <col min="1" max="1" width="9.140625" customWidth="1"/>
    <col min="2" max="2" width="2.7109375" customWidth="1"/>
    <col min="3" max="3" width="1.5703125" customWidth="1"/>
    <col min="4" max="4" width="2.7109375" customWidth="1"/>
    <col min="5" max="5" width="9.140625" customWidth="1"/>
    <col min="6" max="6" width="10.85546875" customWidth="1"/>
  </cols>
  <sheetData>
    <row r="2" spans="1:36" x14ac:dyDescent="0.2">
      <c r="A2" s="219" t="s">
        <v>146</v>
      </c>
      <c r="B2" s="219"/>
      <c r="C2" s="219"/>
      <c r="D2" s="219"/>
      <c r="E2" s="219"/>
      <c r="G2" t="str">
        <f>'Grupo E'!Q7</f>
        <v>Italia</v>
      </c>
      <c r="N2" t="str">
        <f>'Grupo E'!Q9</f>
        <v>Ghana</v>
      </c>
      <c r="U2" t="str">
        <f>'Grupo E'!Q11</f>
        <v>EE.UU.</v>
      </c>
      <c r="AB2" t="str">
        <f>'Grupo E'!Q13</f>
        <v>Rep. Checa</v>
      </c>
    </row>
    <row r="3" spans="1:36" x14ac:dyDescent="0.2">
      <c r="F3" t="s">
        <v>147</v>
      </c>
      <c r="G3" t="s">
        <v>148</v>
      </c>
      <c r="H3" t="s">
        <v>149</v>
      </c>
      <c r="I3" t="s">
        <v>150</v>
      </c>
      <c r="J3" t="s">
        <v>151</v>
      </c>
      <c r="K3" t="s">
        <v>152</v>
      </c>
      <c r="L3" t="s">
        <v>153</v>
      </c>
      <c r="N3" t="s">
        <v>148</v>
      </c>
      <c r="O3" t="s">
        <v>149</v>
      </c>
      <c r="P3" t="s">
        <v>150</v>
      </c>
      <c r="Q3" t="s">
        <v>151</v>
      </c>
      <c r="R3" t="s">
        <v>152</v>
      </c>
      <c r="S3" t="s">
        <v>153</v>
      </c>
      <c r="U3" t="s">
        <v>148</v>
      </c>
      <c r="V3" t="s">
        <v>149</v>
      </c>
      <c r="W3" t="s">
        <v>150</v>
      </c>
      <c r="X3" t="s">
        <v>151</v>
      </c>
      <c r="Y3" t="s">
        <v>152</v>
      </c>
      <c r="Z3" t="s">
        <v>153</v>
      </c>
      <c r="AB3" t="s">
        <v>148</v>
      </c>
      <c r="AC3" t="s">
        <v>149</v>
      </c>
      <c r="AD3" t="s">
        <v>150</v>
      </c>
      <c r="AE3" t="s">
        <v>151</v>
      </c>
      <c r="AF3" t="s">
        <v>152</v>
      </c>
      <c r="AG3" t="s">
        <v>153</v>
      </c>
    </row>
    <row r="4" spans="1:36" x14ac:dyDescent="0.2">
      <c r="A4" s="177" t="str">
        <f>'Grupo E'!B6</f>
        <v>Italia</v>
      </c>
      <c r="B4" s="178">
        <f>'Grupo E'!C6</f>
        <v>0</v>
      </c>
      <c r="C4" s="178" t="str">
        <f>'Grupo E'!D6</f>
        <v>-</v>
      </c>
      <c r="D4" s="178">
        <f>'Grupo E'!E6</f>
        <v>0</v>
      </c>
      <c r="E4" s="179" t="str">
        <f>'Grupo E'!F6</f>
        <v>Ghana</v>
      </c>
      <c r="F4" s="178">
        <f>COUNTBLANK('Grupo E'!C6:E6)</f>
        <v>2</v>
      </c>
      <c r="G4" s="180">
        <f t="shared" ref="G4:G9" si="0">IF(AND(F4=0,OR($A4=$G$2,$E4=$G$2)),1,0)</f>
        <v>0</v>
      </c>
      <c r="H4" s="180">
        <f t="shared" ref="H4:H9" si="1">IF(AND(F4=0,OR(AND($A4=$G$2,$B4&gt;$D4),AND($E4=$G$2,$D4&gt;$B4))),1,0)</f>
        <v>0</v>
      </c>
      <c r="I4" s="180">
        <f t="shared" ref="I4:I9" si="2">IF(AND(F4=0,G4=1,$B4=$D4),1,0)</f>
        <v>0</v>
      </c>
      <c r="J4" s="180">
        <f t="shared" ref="J4:J9" si="3">IF(AND(F4=0,OR(AND($A4=$G$2,$B4&lt;$D4),AND($E4=$G$2,$D4&lt;$B4))),1,0)</f>
        <v>0</v>
      </c>
      <c r="K4" s="180">
        <f t="shared" ref="K4:K9" si="4">IF(F4&gt;0,0,IF($A4=$G$2,$B4,IF($E4=$G$2,$D4,0)))</f>
        <v>0</v>
      </c>
      <c r="L4" s="180">
        <f t="shared" ref="L4:L9" si="5">IF(F4&gt;0,0,IF($A4=$G$2,$D4,IF($E4=$G$2,$B4,0)))</f>
        <v>0</v>
      </c>
      <c r="N4" s="180">
        <f t="shared" ref="N4:N9" si="6">IF(AND(F4=0,OR($A4=$N$2,$E4=$N$2)),1,0)</f>
        <v>0</v>
      </c>
      <c r="O4" s="180">
        <f t="shared" ref="O4:O9" si="7">IF(AND(F4=0,OR(AND($A4=$N$2,$B4&gt;$D4),AND($E4=$N$2,$D4&gt;$B4))),1,0)</f>
        <v>0</v>
      </c>
      <c r="P4" s="180">
        <f t="shared" ref="P4:P9" si="8">IF(AND(F4=0,N4=1,$B4=$D4),1,0)</f>
        <v>0</v>
      </c>
      <c r="Q4" s="180">
        <f t="shared" ref="Q4:Q9" si="9">IF(AND(F4=0,OR(AND($A4=$N$2,$B4&lt;$D4),AND($E4=$N$2,$D4&lt;$B4))),1,0)</f>
        <v>0</v>
      </c>
      <c r="R4" s="180">
        <f t="shared" ref="R4:R9" si="10">IF(F4&gt;0,0,IF($A4=$N$2,$B4,IF($E4=$N$2,$D4,0)))</f>
        <v>0</v>
      </c>
      <c r="S4" s="180">
        <f t="shared" ref="S4:S9" si="11">IF(F4&gt;0,0,IF($A4=$N$2,$D4,IF($E4=$N$2,$B4,0)))</f>
        <v>0</v>
      </c>
      <c r="U4" s="180">
        <f t="shared" ref="U4:U9" si="12">IF(AND(F4=0,OR($A4=$U$2,$E4=$U$2)),1,0)</f>
        <v>0</v>
      </c>
      <c r="V4" s="180">
        <f t="shared" ref="V4:V9" si="13">IF(AND(F4=0,OR(AND($A4=$U$2,$B4&gt;$D4),AND($E4=$U$2,$D4&gt;$B4))),1,0)</f>
        <v>0</v>
      </c>
      <c r="W4" s="180">
        <f t="shared" ref="W4:W9" si="14">IF(AND(F4=0,U4=1,$B4=$D4),1,0)</f>
        <v>0</v>
      </c>
      <c r="X4" s="180">
        <f t="shared" ref="X4:X9" si="15">IF(AND(F4=0,OR(AND($A4=$U$2,$B4&lt;$D4),AND($E4=$U$2,$D4&lt;$B4))),1,0)</f>
        <v>0</v>
      </c>
      <c r="Y4" s="180">
        <f t="shared" ref="Y4:Y9" si="16">IF(F4&gt;0,0,IF($A4=$U$2,$B4,IF($E4=$U$2,$D4,0)))</f>
        <v>0</v>
      </c>
      <c r="Z4" s="180">
        <f t="shared" ref="Z4:Z9" si="17">IF(F4&gt;0,0,IF($A4=$U$2,$D4,IF($E4=$U$2,$B4,0)))</f>
        <v>0</v>
      </c>
      <c r="AB4" s="180">
        <f t="shared" ref="AB4:AB9" si="18">IF(AND(F4=0,OR($A4=$AB$2,$E4=$AB$2)),1,0)</f>
        <v>0</v>
      </c>
      <c r="AC4" s="180">
        <f t="shared" ref="AC4:AC9" si="19">IF(AND(F4=0,OR(AND($A4=$AB$2,$B4&gt;$D4),AND($E4=$AB$2,$D4&gt;$B4))),1,0)</f>
        <v>0</v>
      </c>
      <c r="AD4" s="180">
        <f t="shared" ref="AD4:AD9" si="20">IF(AND(F4=0,AB4=1,$B4=$D4),1,0)</f>
        <v>0</v>
      </c>
      <c r="AE4" s="180">
        <f t="shared" ref="AE4:AE9" si="21">IF(AND(F4=0,OR(AND($A4=$AB$2,$B4&lt;$D4),AND($E4=$AB$2,$D4&lt;$B4))),1,0)</f>
        <v>0</v>
      </c>
      <c r="AF4" s="180">
        <f t="shared" ref="AF4:AF9" si="22">IF(F4&gt;0,0,IF($A4=$AB$2,$B4,IF($E4=$AB$2,$D4,0)))</f>
        <v>0</v>
      </c>
      <c r="AG4" s="180">
        <f t="shared" ref="AG4:AG9" si="23">IF(F4&gt;0,0,IF($A4=$AB$2,$D4,IF($E4=$AB$2,$B4,0)))</f>
        <v>0</v>
      </c>
    </row>
    <row r="5" spans="1:36" x14ac:dyDescent="0.2">
      <c r="A5" s="177" t="str">
        <f>'Grupo E'!B7</f>
        <v>EE.UU.</v>
      </c>
      <c r="B5" s="178">
        <f>'Grupo E'!C7</f>
        <v>0</v>
      </c>
      <c r="C5" s="178" t="str">
        <f>'Grupo E'!D7</f>
        <v>-</v>
      </c>
      <c r="D5" s="178">
        <f>'Grupo E'!E7</f>
        <v>0</v>
      </c>
      <c r="E5" s="179" t="str">
        <f>'Grupo E'!F7</f>
        <v>Rep. Checa</v>
      </c>
      <c r="F5" s="178">
        <f>COUNTBLANK('Grupo E'!C7:E7)</f>
        <v>2</v>
      </c>
      <c r="G5" s="180">
        <f t="shared" si="0"/>
        <v>0</v>
      </c>
      <c r="H5" s="180">
        <f t="shared" si="1"/>
        <v>0</v>
      </c>
      <c r="I5" s="180">
        <f t="shared" si="2"/>
        <v>0</v>
      </c>
      <c r="J5" s="180">
        <f t="shared" si="3"/>
        <v>0</v>
      </c>
      <c r="K5" s="180">
        <f t="shared" si="4"/>
        <v>0</v>
      </c>
      <c r="L5" s="180">
        <f t="shared" si="5"/>
        <v>0</v>
      </c>
      <c r="N5" s="180">
        <f t="shared" si="6"/>
        <v>0</v>
      </c>
      <c r="O5" s="180">
        <f t="shared" si="7"/>
        <v>0</v>
      </c>
      <c r="P5" s="180">
        <f t="shared" si="8"/>
        <v>0</v>
      </c>
      <c r="Q5" s="180">
        <f t="shared" si="9"/>
        <v>0</v>
      </c>
      <c r="R5" s="180">
        <f t="shared" si="10"/>
        <v>0</v>
      </c>
      <c r="S5" s="180">
        <f t="shared" si="11"/>
        <v>0</v>
      </c>
      <c r="U5" s="180">
        <f t="shared" si="12"/>
        <v>0</v>
      </c>
      <c r="V5" s="180">
        <f t="shared" si="13"/>
        <v>0</v>
      </c>
      <c r="W5" s="180">
        <f t="shared" si="14"/>
        <v>0</v>
      </c>
      <c r="X5" s="180">
        <f t="shared" si="15"/>
        <v>0</v>
      </c>
      <c r="Y5" s="180">
        <f t="shared" si="16"/>
        <v>0</v>
      </c>
      <c r="Z5" s="180">
        <f t="shared" si="17"/>
        <v>0</v>
      </c>
      <c r="AB5" s="180">
        <f t="shared" si="18"/>
        <v>0</v>
      </c>
      <c r="AC5" s="180">
        <f t="shared" si="19"/>
        <v>0</v>
      </c>
      <c r="AD5" s="180">
        <f t="shared" si="20"/>
        <v>0</v>
      </c>
      <c r="AE5" s="180">
        <f t="shared" si="21"/>
        <v>0</v>
      </c>
      <c r="AF5" s="180">
        <f t="shared" si="22"/>
        <v>0</v>
      </c>
      <c r="AG5" s="180">
        <f t="shared" si="23"/>
        <v>0</v>
      </c>
    </row>
    <row r="6" spans="1:36" x14ac:dyDescent="0.2">
      <c r="A6" s="177" t="str">
        <f>'Grupo E'!B8</f>
        <v>Italia</v>
      </c>
      <c r="B6" s="178">
        <f>'Grupo E'!C8</f>
        <v>0</v>
      </c>
      <c r="C6" s="178" t="str">
        <f>'Grupo E'!D8</f>
        <v>-</v>
      </c>
      <c r="D6" s="178">
        <f>'Grupo E'!E8</f>
        <v>0</v>
      </c>
      <c r="E6" s="179" t="str">
        <f>'Grupo E'!F8</f>
        <v>EE.UU.</v>
      </c>
      <c r="F6" s="178">
        <f>COUNTBLANK('Grupo E'!C8:E8)</f>
        <v>2</v>
      </c>
      <c r="G6" s="180">
        <f t="shared" si="0"/>
        <v>0</v>
      </c>
      <c r="H6" s="180">
        <f t="shared" si="1"/>
        <v>0</v>
      </c>
      <c r="I6" s="180">
        <f t="shared" si="2"/>
        <v>0</v>
      </c>
      <c r="J6" s="180">
        <f t="shared" si="3"/>
        <v>0</v>
      </c>
      <c r="K6" s="180">
        <f t="shared" si="4"/>
        <v>0</v>
      </c>
      <c r="L6" s="180">
        <f t="shared" si="5"/>
        <v>0</v>
      </c>
      <c r="N6" s="180">
        <f t="shared" si="6"/>
        <v>0</v>
      </c>
      <c r="O6" s="180">
        <f t="shared" si="7"/>
        <v>0</v>
      </c>
      <c r="P6" s="180">
        <f t="shared" si="8"/>
        <v>0</v>
      </c>
      <c r="Q6" s="180">
        <f t="shared" si="9"/>
        <v>0</v>
      </c>
      <c r="R6" s="180">
        <f t="shared" si="10"/>
        <v>0</v>
      </c>
      <c r="S6" s="180">
        <f t="shared" si="11"/>
        <v>0</v>
      </c>
      <c r="U6" s="180">
        <f t="shared" si="12"/>
        <v>0</v>
      </c>
      <c r="V6" s="180">
        <f t="shared" si="13"/>
        <v>0</v>
      </c>
      <c r="W6" s="180">
        <f t="shared" si="14"/>
        <v>0</v>
      </c>
      <c r="X6" s="180">
        <f t="shared" si="15"/>
        <v>0</v>
      </c>
      <c r="Y6" s="180">
        <f t="shared" si="16"/>
        <v>0</v>
      </c>
      <c r="Z6" s="180">
        <f t="shared" si="17"/>
        <v>0</v>
      </c>
      <c r="AB6" s="180">
        <f t="shared" si="18"/>
        <v>0</v>
      </c>
      <c r="AC6" s="180">
        <f t="shared" si="19"/>
        <v>0</v>
      </c>
      <c r="AD6" s="180">
        <f t="shared" si="20"/>
        <v>0</v>
      </c>
      <c r="AE6" s="180">
        <f t="shared" si="21"/>
        <v>0</v>
      </c>
      <c r="AF6" s="180">
        <f t="shared" si="22"/>
        <v>0</v>
      </c>
      <c r="AG6" s="180">
        <f t="shared" si="23"/>
        <v>0</v>
      </c>
    </row>
    <row r="7" spans="1:36" x14ac:dyDescent="0.2">
      <c r="A7" s="177" t="str">
        <f>'Grupo E'!B9</f>
        <v>Rep. Checa</v>
      </c>
      <c r="B7" s="178">
        <f>'Grupo E'!C9</f>
        <v>0</v>
      </c>
      <c r="C7" s="178" t="str">
        <f>'Grupo E'!D9</f>
        <v>-</v>
      </c>
      <c r="D7" s="178">
        <f>'Grupo E'!E9</f>
        <v>0</v>
      </c>
      <c r="E7" s="179" t="str">
        <f>'Grupo E'!F9</f>
        <v>Ghana</v>
      </c>
      <c r="F7" s="178">
        <f>COUNTBLANK('Grupo E'!C9:E9)</f>
        <v>2</v>
      </c>
      <c r="G7" s="180">
        <f t="shared" si="0"/>
        <v>0</v>
      </c>
      <c r="H7" s="180">
        <f t="shared" si="1"/>
        <v>0</v>
      </c>
      <c r="I7" s="180">
        <f t="shared" si="2"/>
        <v>0</v>
      </c>
      <c r="J7" s="180">
        <f t="shared" si="3"/>
        <v>0</v>
      </c>
      <c r="K7" s="180">
        <f t="shared" si="4"/>
        <v>0</v>
      </c>
      <c r="L7" s="180">
        <f t="shared" si="5"/>
        <v>0</v>
      </c>
      <c r="N7" s="180">
        <f t="shared" si="6"/>
        <v>0</v>
      </c>
      <c r="O7" s="180">
        <f t="shared" si="7"/>
        <v>0</v>
      </c>
      <c r="P7" s="180">
        <f t="shared" si="8"/>
        <v>0</v>
      </c>
      <c r="Q7" s="180">
        <f t="shared" si="9"/>
        <v>0</v>
      </c>
      <c r="R7" s="180">
        <f t="shared" si="10"/>
        <v>0</v>
      </c>
      <c r="S7" s="180">
        <f t="shared" si="11"/>
        <v>0</v>
      </c>
      <c r="U7" s="180">
        <f t="shared" si="12"/>
        <v>0</v>
      </c>
      <c r="V7" s="180">
        <f t="shared" si="13"/>
        <v>0</v>
      </c>
      <c r="W7" s="180">
        <f t="shared" si="14"/>
        <v>0</v>
      </c>
      <c r="X7" s="180">
        <f t="shared" si="15"/>
        <v>0</v>
      </c>
      <c r="Y7" s="180">
        <f t="shared" si="16"/>
        <v>0</v>
      </c>
      <c r="Z7" s="180">
        <f t="shared" si="17"/>
        <v>0</v>
      </c>
      <c r="AB7" s="180">
        <f t="shared" si="18"/>
        <v>0</v>
      </c>
      <c r="AC7" s="180">
        <f t="shared" si="19"/>
        <v>0</v>
      </c>
      <c r="AD7" s="180">
        <f t="shared" si="20"/>
        <v>0</v>
      </c>
      <c r="AE7" s="180">
        <f t="shared" si="21"/>
        <v>0</v>
      </c>
      <c r="AF7" s="180">
        <f t="shared" si="22"/>
        <v>0</v>
      </c>
      <c r="AG7" s="180">
        <f t="shared" si="23"/>
        <v>0</v>
      </c>
    </row>
    <row r="8" spans="1:36" x14ac:dyDescent="0.2">
      <c r="A8" s="177" t="str">
        <f>'Grupo E'!B10</f>
        <v>Rep. Checa</v>
      </c>
      <c r="B8" s="178">
        <f>'Grupo E'!C10</f>
        <v>0</v>
      </c>
      <c r="C8" s="178" t="str">
        <f>'Grupo E'!D10</f>
        <v>-</v>
      </c>
      <c r="D8" s="178">
        <f>'Grupo E'!E10</f>
        <v>0</v>
      </c>
      <c r="E8" s="179" t="str">
        <f>'Grupo E'!F10</f>
        <v>Italia</v>
      </c>
      <c r="F8" s="178">
        <f>COUNTBLANK('Grupo E'!C10:E10)</f>
        <v>2</v>
      </c>
      <c r="G8" s="180">
        <f t="shared" si="0"/>
        <v>0</v>
      </c>
      <c r="H8" s="180">
        <f t="shared" si="1"/>
        <v>0</v>
      </c>
      <c r="I8" s="180">
        <f t="shared" si="2"/>
        <v>0</v>
      </c>
      <c r="J8" s="180">
        <f t="shared" si="3"/>
        <v>0</v>
      </c>
      <c r="K8" s="180">
        <f t="shared" si="4"/>
        <v>0</v>
      </c>
      <c r="L8" s="180">
        <f t="shared" si="5"/>
        <v>0</v>
      </c>
      <c r="N8" s="180">
        <f t="shared" si="6"/>
        <v>0</v>
      </c>
      <c r="O8" s="180">
        <f t="shared" si="7"/>
        <v>0</v>
      </c>
      <c r="P8" s="180">
        <f t="shared" si="8"/>
        <v>0</v>
      </c>
      <c r="Q8" s="180">
        <f t="shared" si="9"/>
        <v>0</v>
      </c>
      <c r="R8" s="180">
        <f t="shared" si="10"/>
        <v>0</v>
      </c>
      <c r="S8" s="180">
        <f t="shared" si="11"/>
        <v>0</v>
      </c>
      <c r="U8" s="180">
        <f t="shared" si="12"/>
        <v>0</v>
      </c>
      <c r="V8" s="180">
        <f t="shared" si="13"/>
        <v>0</v>
      </c>
      <c r="W8" s="180">
        <f t="shared" si="14"/>
        <v>0</v>
      </c>
      <c r="X8" s="180">
        <f t="shared" si="15"/>
        <v>0</v>
      </c>
      <c r="Y8" s="180">
        <f t="shared" si="16"/>
        <v>0</v>
      </c>
      <c r="Z8" s="180">
        <f t="shared" si="17"/>
        <v>0</v>
      </c>
      <c r="AB8" s="180">
        <f t="shared" si="18"/>
        <v>0</v>
      </c>
      <c r="AC8" s="180">
        <f t="shared" si="19"/>
        <v>0</v>
      </c>
      <c r="AD8" s="180">
        <f t="shared" si="20"/>
        <v>0</v>
      </c>
      <c r="AE8" s="180">
        <f t="shared" si="21"/>
        <v>0</v>
      </c>
      <c r="AF8" s="180">
        <f t="shared" si="22"/>
        <v>0</v>
      </c>
      <c r="AG8" s="180">
        <f t="shared" si="23"/>
        <v>0</v>
      </c>
    </row>
    <row r="9" spans="1:36" x14ac:dyDescent="0.2">
      <c r="A9" s="177" t="str">
        <f>'Grupo E'!B11</f>
        <v>Ghana</v>
      </c>
      <c r="B9" s="178">
        <f>'Grupo E'!C11</f>
        <v>0</v>
      </c>
      <c r="C9" s="178" t="str">
        <f>'Grupo E'!D11</f>
        <v>-</v>
      </c>
      <c r="D9" s="178">
        <f>'Grupo E'!E11</f>
        <v>0</v>
      </c>
      <c r="E9" s="179" t="str">
        <f>'Grupo E'!F11</f>
        <v>EE.UU.</v>
      </c>
      <c r="F9" s="178">
        <f>COUNTBLANK('Grupo E'!C11:E11)</f>
        <v>2</v>
      </c>
      <c r="G9" s="180">
        <f t="shared" si="0"/>
        <v>0</v>
      </c>
      <c r="H9" s="180">
        <f t="shared" si="1"/>
        <v>0</v>
      </c>
      <c r="I9" s="180">
        <f t="shared" si="2"/>
        <v>0</v>
      </c>
      <c r="J9" s="180">
        <f t="shared" si="3"/>
        <v>0</v>
      </c>
      <c r="K9" s="180">
        <f t="shared" si="4"/>
        <v>0</v>
      </c>
      <c r="L9" s="180">
        <f t="shared" si="5"/>
        <v>0</v>
      </c>
      <c r="N9" s="180">
        <f t="shared" si="6"/>
        <v>0</v>
      </c>
      <c r="O9" s="180">
        <f t="shared" si="7"/>
        <v>0</v>
      </c>
      <c r="P9" s="180">
        <f t="shared" si="8"/>
        <v>0</v>
      </c>
      <c r="Q9" s="180">
        <f t="shared" si="9"/>
        <v>0</v>
      </c>
      <c r="R9" s="180">
        <f t="shared" si="10"/>
        <v>0</v>
      </c>
      <c r="S9" s="180">
        <f t="shared" si="11"/>
        <v>0</v>
      </c>
      <c r="U9" s="180">
        <f t="shared" si="12"/>
        <v>0</v>
      </c>
      <c r="V9" s="180">
        <f t="shared" si="13"/>
        <v>0</v>
      </c>
      <c r="W9" s="180">
        <f t="shared" si="14"/>
        <v>0</v>
      </c>
      <c r="X9" s="180">
        <f t="shared" si="15"/>
        <v>0</v>
      </c>
      <c r="Y9" s="180">
        <f t="shared" si="16"/>
        <v>0</v>
      </c>
      <c r="Z9" s="180">
        <f t="shared" si="17"/>
        <v>0</v>
      </c>
      <c r="AB9" s="180">
        <f t="shared" si="18"/>
        <v>0</v>
      </c>
      <c r="AC9" s="180">
        <f t="shared" si="19"/>
        <v>0</v>
      </c>
      <c r="AD9" s="180">
        <f t="shared" si="20"/>
        <v>0</v>
      </c>
      <c r="AE9" s="180">
        <f t="shared" si="21"/>
        <v>0</v>
      </c>
      <c r="AF9" s="180">
        <f t="shared" si="22"/>
        <v>0</v>
      </c>
      <c r="AG9" s="180">
        <f t="shared" si="23"/>
        <v>0</v>
      </c>
    </row>
    <row r="10" spans="1:36" x14ac:dyDescent="0.2">
      <c r="G10" s="180">
        <f t="shared" ref="G10:L10" si="24">SUM(G4:G9)</f>
        <v>0</v>
      </c>
      <c r="H10" s="180">
        <f t="shared" si="24"/>
        <v>0</v>
      </c>
      <c r="I10" s="180">
        <f t="shared" si="24"/>
        <v>0</v>
      </c>
      <c r="J10" s="180">
        <f t="shared" si="24"/>
        <v>0</v>
      </c>
      <c r="K10" s="180">
        <f t="shared" si="24"/>
        <v>0</v>
      </c>
      <c r="L10" s="180">
        <f t="shared" si="24"/>
        <v>0</v>
      </c>
      <c r="M10" s="180">
        <f>H10*3+I10</f>
        <v>0</v>
      </c>
      <c r="N10" s="180">
        <f t="shared" ref="N10:S10" si="25">SUM(N4:N9)</f>
        <v>0</v>
      </c>
      <c r="O10" s="180">
        <f t="shared" si="25"/>
        <v>0</v>
      </c>
      <c r="P10" s="180">
        <f t="shared" si="25"/>
        <v>0</v>
      </c>
      <c r="Q10" s="180">
        <f t="shared" si="25"/>
        <v>0</v>
      </c>
      <c r="R10" s="180">
        <f t="shared" si="25"/>
        <v>0</v>
      </c>
      <c r="S10" s="180">
        <f t="shared" si="25"/>
        <v>0</v>
      </c>
      <c r="T10" s="180">
        <f>O10*3+P10</f>
        <v>0</v>
      </c>
      <c r="U10" s="180">
        <f t="shared" ref="U10:Z10" si="26">SUM(U4:U9)</f>
        <v>0</v>
      </c>
      <c r="V10" s="180">
        <f t="shared" si="26"/>
        <v>0</v>
      </c>
      <c r="W10" s="180">
        <f t="shared" si="26"/>
        <v>0</v>
      </c>
      <c r="X10" s="180">
        <f t="shared" si="26"/>
        <v>0</v>
      </c>
      <c r="Y10" s="180">
        <f t="shared" si="26"/>
        <v>0</v>
      </c>
      <c r="Z10" s="180">
        <f t="shared" si="26"/>
        <v>0</v>
      </c>
      <c r="AA10" s="180">
        <f>V10*3+W10</f>
        <v>0</v>
      </c>
      <c r="AB10" s="180">
        <f t="shared" ref="AB10:AG10" si="27">SUM(AB4:AB9)</f>
        <v>0</v>
      </c>
      <c r="AC10" s="180">
        <f t="shared" si="27"/>
        <v>0</v>
      </c>
      <c r="AD10" s="180">
        <f t="shared" si="27"/>
        <v>0</v>
      </c>
      <c r="AE10" s="180">
        <f t="shared" si="27"/>
        <v>0</v>
      </c>
      <c r="AF10" s="180">
        <f t="shared" si="27"/>
        <v>0</v>
      </c>
      <c r="AG10" s="180">
        <f t="shared" si="27"/>
        <v>0</v>
      </c>
      <c r="AH10" s="180">
        <f>AC10*3+AD10</f>
        <v>0</v>
      </c>
    </row>
    <row r="14" spans="1:36" x14ac:dyDescent="0.2">
      <c r="F14" t="s">
        <v>154</v>
      </c>
    </row>
    <row r="15" spans="1:36" x14ac:dyDescent="0.2">
      <c r="G15" t="s">
        <v>148</v>
      </c>
      <c r="H15" t="s">
        <v>149</v>
      </c>
      <c r="I15" t="s">
        <v>150</v>
      </c>
      <c r="J15" t="s">
        <v>151</v>
      </c>
      <c r="K15" t="s">
        <v>152</v>
      </c>
      <c r="L15" t="s">
        <v>153</v>
      </c>
      <c r="M15" t="s">
        <v>155</v>
      </c>
      <c r="O15" t="s">
        <v>156</v>
      </c>
      <c r="S15" t="s">
        <v>157</v>
      </c>
      <c r="W15" t="s">
        <v>158</v>
      </c>
      <c r="AA15" t="s">
        <v>159</v>
      </c>
      <c r="AE15" t="s">
        <v>160</v>
      </c>
      <c r="AI15" t="s">
        <v>161</v>
      </c>
    </row>
    <row r="16" spans="1:36" x14ac:dyDescent="0.2">
      <c r="F16" t="str">
        <f>G2</f>
        <v>Italia</v>
      </c>
      <c r="G16" s="180">
        <f t="shared" ref="G16:M16" si="28">G10</f>
        <v>0</v>
      </c>
      <c r="H16" s="180">
        <f t="shared" si="28"/>
        <v>0</v>
      </c>
      <c r="I16" s="180">
        <f t="shared" si="28"/>
        <v>0</v>
      </c>
      <c r="J16" s="180">
        <f t="shared" si="28"/>
        <v>0</v>
      </c>
      <c r="K16" s="180">
        <f t="shared" si="28"/>
        <v>0</v>
      </c>
      <c r="L16" s="180">
        <f t="shared" si="28"/>
        <v>0</v>
      </c>
      <c r="M16" s="180">
        <f t="shared" si="28"/>
        <v>0</v>
      </c>
      <c r="O16" t="str">
        <f>IF($M16&gt;=$M17,$F16,$F17)</f>
        <v>Italia</v>
      </c>
      <c r="P16" s="180">
        <f>VLOOKUP(O16,$F$16:$M$25,8,FALSE)</f>
        <v>0</v>
      </c>
      <c r="S16" t="str">
        <f>IF($P16&gt;=$P18,$O16,$O18)</f>
        <v>Italia</v>
      </c>
      <c r="T16" s="180">
        <f>VLOOKUP(S16,$O$16:$P$25,2,FALSE)</f>
        <v>0</v>
      </c>
      <c r="W16" t="str">
        <f>IF($T16&gt;=$T19,$S16,$S19)</f>
        <v>Italia</v>
      </c>
      <c r="X16" s="180">
        <f>VLOOKUP(W16,$S$16:$T$25,2,FALSE)</f>
        <v>0</v>
      </c>
      <c r="AA16" t="str">
        <f>W16</f>
        <v>Italia</v>
      </c>
      <c r="AB16" s="180">
        <f>VLOOKUP(AA16,W16:X25,2,FALSE)</f>
        <v>0</v>
      </c>
      <c r="AE16" t="str">
        <f>AA16</f>
        <v>Italia</v>
      </c>
      <c r="AF16" s="180">
        <f>VLOOKUP(AE16,AA16:AB25,2,FALSE)</f>
        <v>0</v>
      </c>
      <c r="AI16" t="str">
        <f>AE16</f>
        <v>Italia</v>
      </c>
      <c r="AJ16" s="180">
        <f>VLOOKUP(AI16,AE16:AF25,2,FALSE)</f>
        <v>0</v>
      </c>
    </row>
    <row r="17" spans="6:37" x14ac:dyDescent="0.2">
      <c r="F17" t="str">
        <f>N2</f>
        <v>Ghana</v>
      </c>
      <c r="G17" s="180">
        <f t="shared" ref="G17:M17" si="29">N10</f>
        <v>0</v>
      </c>
      <c r="H17" s="180">
        <f t="shared" si="29"/>
        <v>0</v>
      </c>
      <c r="I17" s="180">
        <f t="shared" si="29"/>
        <v>0</v>
      </c>
      <c r="J17" s="180">
        <f t="shared" si="29"/>
        <v>0</v>
      </c>
      <c r="K17" s="180">
        <f t="shared" si="29"/>
        <v>0</v>
      </c>
      <c r="L17" s="180">
        <f t="shared" si="29"/>
        <v>0</v>
      </c>
      <c r="M17" s="180">
        <f t="shared" si="29"/>
        <v>0</v>
      </c>
      <c r="O17" t="str">
        <f>IF($M17&lt;=$M16,$F17,$F16)</f>
        <v>Ghana</v>
      </c>
      <c r="P17" s="180">
        <f>VLOOKUP(O17,$F$16:$M$25,8,FALSE)</f>
        <v>0</v>
      </c>
      <c r="S17" t="str">
        <f>O17</f>
        <v>Ghana</v>
      </c>
      <c r="T17" s="180">
        <f>VLOOKUP(S17,$O$16:$P$25,2,FALSE)</f>
        <v>0</v>
      </c>
      <c r="W17" t="str">
        <f>S17</f>
        <v>Ghana</v>
      </c>
      <c r="X17" s="180">
        <f>VLOOKUP(W17,$S$16:$T$25,2,FALSE)</f>
        <v>0</v>
      </c>
      <c r="AA17" t="str">
        <f>IF(X17&gt;=X18,W17,W18)</f>
        <v>Ghana</v>
      </c>
      <c r="AB17" s="180">
        <f>VLOOKUP(AA17,W16:X25,2,FALSE)</f>
        <v>0</v>
      </c>
      <c r="AE17" t="str">
        <f>IF(AB17&gt;=AB19,AA17,AA19)</f>
        <v>Ghana</v>
      </c>
      <c r="AF17" s="180">
        <f>VLOOKUP(AE17,AA16:AB25,2,FALSE)</f>
        <v>0</v>
      </c>
      <c r="AI17" t="str">
        <f>AE17</f>
        <v>Ghana</v>
      </c>
      <c r="AJ17" s="180">
        <f>VLOOKUP(AI17,AE16:AF25,2,FALSE)</f>
        <v>0</v>
      </c>
    </row>
    <row r="18" spans="6:37" x14ac:dyDescent="0.2">
      <c r="F18" t="str">
        <f>U2</f>
        <v>EE.UU.</v>
      </c>
      <c r="G18" s="180">
        <f t="shared" ref="G18:M18" si="30">U10</f>
        <v>0</v>
      </c>
      <c r="H18" s="180">
        <f t="shared" si="30"/>
        <v>0</v>
      </c>
      <c r="I18" s="180">
        <f t="shared" si="30"/>
        <v>0</v>
      </c>
      <c r="J18" s="180">
        <f t="shared" si="30"/>
        <v>0</v>
      </c>
      <c r="K18" s="180">
        <f t="shared" si="30"/>
        <v>0</v>
      </c>
      <c r="L18" s="180">
        <f t="shared" si="30"/>
        <v>0</v>
      </c>
      <c r="M18" s="180">
        <f t="shared" si="30"/>
        <v>0</v>
      </c>
      <c r="O18" t="str">
        <f>F18</f>
        <v>EE.UU.</v>
      </c>
      <c r="P18" s="180">
        <f>VLOOKUP(O18,$F$16:$M$25,8,FALSE)</f>
        <v>0</v>
      </c>
      <c r="S18" t="str">
        <f>IF($P18&lt;=$P16,$O18,$O16)</f>
        <v>EE.UU.</v>
      </c>
      <c r="T18" s="180">
        <f>VLOOKUP(S18,$O$16:$P$25,2,FALSE)</f>
        <v>0</v>
      </c>
      <c r="W18" t="str">
        <f>S18</f>
        <v>EE.UU.</v>
      </c>
      <c r="X18" s="180">
        <f>VLOOKUP(W18,$S$16:$T$25,2,FALSE)</f>
        <v>0</v>
      </c>
      <c r="AA18" t="str">
        <f>IF(X18&lt;=X17,W18,W17)</f>
        <v>EE.UU.</v>
      </c>
      <c r="AB18" s="180">
        <f>VLOOKUP(AA18,W16:X25,2,FALSE)</f>
        <v>0</v>
      </c>
      <c r="AE18" t="str">
        <f>AA18</f>
        <v>EE.UU.</v>
      </c>
      <c r="AF18" s="180">
        <f>VLOOKUP(AE18,AA16:AB25,2,FALSE)</f>
        <v>0</v>
      </c>
      <c r="AI18" t="str">
        <f>IF(AF18&gt;=AF19,AE18,AE19)</f>
        <v>EE.UU.</v>
      </c>
      <c r="AJ18" s="180">
        <f>VLOOKUP(AI18,AE16:AF25,2,FALSE)</f>
        <v>0</v>
      </c>
    </row>
    <row r="19" spans="6:37" x14ac:dyDescent="0.2">
      <c r="F19" t="str">
        <f>AB2</f>
        <v>Rep. Checa</v>
      </c>
      <c r="G19" s="180">
        <f t="shared" ref="G19:M19" si="31">AB10</f>
        <v>0</v>
      </c>
      <c r="H19" s="180">
        <f t="shared" si="31"/>
        <v>0</v>
      </c>
      <c r="I19" s="180">
        <f t="shared" si="31"/>
        <v>0</v>
      </c>
      <c r="J19" s="180">
        <f t="shared" si="31"/>
        <v>0</v>
      </c>
      <c r="K19" s="180">
        <f t="shared" si="31"/>
        <v>0</v>
      </c>
      <c r="L19" s="180">
        <f t="shared" si="31"/>
        <v>0</v>
      </c>
      <c r="M19" s="180">
        <f t="shared" si="31"/>
        <v>0</v>
      </c>
      <c r="O19" t="str">
        <f>F19</f>
        <v>Rep. Checa</v>
      </c>
      <c r="P19" s="180">
        <f>VLOOKUP(O19,$F$16:$M$25,8,FALSE)</f>
        <v>0</v>
      </c>
      <c r="S19" t="str">
        <f>O19</f>
        <v>Rep. Checa</v>
      </c>
      <c r="T19" s="180">
        <f>VLOOKUP(S19,$O$16:$P$25,2,FALSE)</f>
        <v>0</v>
      </c>
      <c r="W19" t="str">
        <f>IF($T19&lt;=$T16,$S19,$S16)</f>
        <v>Rep. Checa</v>
      </c>
      <c r="X19" s="180">
        <f>VLOOKUP(W19,$S$16:$T$25,2,FALSE)</f>
        <v>0</v>
      </c>
      <c r="AA19" t="str">
        <f>W19</f>
        <v>Rep. Checa</v>
      </c>
      <c r="AB19" s="180">
        <f>VLOOKUP(AA19,W16:X25,2,FALSE)</f>
        <v>0</v>
      </c>
      <c r="AE19" t="str">
        <f>IF(AB19&lt;=AB17,AA19,AA17)</f>
        <v>Rep. Checa</v>
      </c>
      <c r="AF19" s="180">
        <f>VLOOKUP(AE19,AA16:AB25,2,FALSE)</f>
        <v>0</v>
      </c>
      <c r="AI19" t="str">
        <f>IF(AF19&lt;=AF18,AE19,AE18)</f>
        <v>Rep. Checa</v>
      </c>
      <c r="AJ19" s="180">
        <f>VLOOKUP(AI19,AE16:AF25,2,FALSE)</f>
        <v>0</v>
      </c>
    </row>
    <row r="28" spans="6:37" x14ac:dyDescent="0.2">
      <c r="F28" t="str">
        <f>AI16</f>
        <v>Italia</v>
      </c>
      <c r="J28" s="180">
        <f>AJ16</f>
        <v>0</v>
      </c>
      <c r="K28" s="180">
        <f>VLOOKUP(AI16,$F$16:$M$25,6,FALSE)</f>
        <v>0</v>
      </c>
      <c r="L28" s="180">
        <f>VLOOKUP(AI16,$F$16:$M$25,7,FALSE)</f>
        <v>0</v>
      </c>
      <c r="M28" s="180">
        <f>K28-L28</f>
        <v>0</v>
      </c>
      <c r="O28" t="str">
        <f>IF(AND($J28=$J29,$M29&gt;$M28),$F29,$F28)</f>
        <v>Italia</v>
      </c>
      <c r="P28" s="180">
        <f>VLOOKUP(O28,$F$28:$M$37,5,FALSE)</f>
        <v>0</v>
      </c>
      <c r="Q28" s="180">
        <f>VLOOKUP(O28,$F$28:$M$37,8,FALSE)</f>
        <v>0</v>
      </c>
      <c r="S28" t="str">
        <f>IF(AND(P28=P30,Q30&gt;Q28),O30,O28)</f>
        <v>Italia</v>
      </c>
      <c r="T28" s="180">
        <f>VLOOKUP(S28,$O$28:$Q$37,2,FALSE)</f>
        <v>0</v>
      </c>
      <c r="U28" s="180">
        <f>VLOOKUP(S28,$O$28:$Q$37,3,FALSE)</f>
        <v>0</v>
      </c>
      <c r="W28" t="str">
        <f>IF(AND(T28=T31,U31&gt;U28),S31,S28)</f>
        <v>Italia</v>
      </c>
      <c r="X28" s="180">
        <f>VLOOKUP(W28,$S$28:$U$37,2,FALSE)</f>
        <v>0</v>
      </c>
      <c r="Y28" s="180">
        <f>VLOOKUP(W28,$S$28:$U$37,3,FALSE)</f>
        <v>0</v>
      </c>
      <c r="AA28" t="str">
        <f>W28</f>
        <v>Italia</v>
      </c>
      <c r="AB28" s="180">
        <f>VLOOKUP(AA28,W28:Y37,2,FALSE)</f>
        <v>0</v>
      </c>
      <c r="AC28" s="180">
        <f>VLOOKUP(AA28,W28:Y37,3,FALSE)</f>
        <v>0</v>
      </c>
      <c r="AE28" t="str">
        <f>AA28</f>
        <v>Italia</v>
      </c>
      <c r="AF28" s="180">
        <f>VLOOKUP(AE28,AA28:AC37,2,FALSE)</f>
        <v>0</v>
      </c>
      <c r="AG28" s="180">
        <f>VLOOKUP(AE28,AA28:AC37,3,FALSE)</f>
        <v>0</v>
      </c>
      <c r="AI28" t="str">
        <f>AE28</f>
        <v>Italia</v>
      </c>
      <c r="AJ28" s="180">
        <f>VLOOKUP(AI28,AE28:AG37,2,FALSE)</f>
        <v>0</v>
      </c>
      <c r="AK28" s="180">
        <f>VLOOKUP(AI28,AE28:AG37,3,FALSE)</f>
        <v>0</v>
      </c>
    </row>
    <row r="29" spans="6:37" x14ac:dyDescent="0.2">
      <c r="F29" t="str">
        <f>AI17</f>
        <v>Ghana</v>
      </c>
      <c r="J29" s="180">
        <f>AJ17</f>
        <v>0</v>
      </c>
      <c r="K29" s="180">
        <f>VLOOKUP(AI17,$F$16:$M$25,6,FALSE)</f>
        <v>0</v>
      </c>
      <c r="L29" s="180">
        <f>VLOOKUP(AI17,$F$16:$M$25,7,FALSE)</f>
        <v>0</v>
      </c>
      <c r="M29" s="180">
        <f>K29-L29</f>
        <v>0</v>
      </c>
      <c r="O29" t="str">
        <f>IF(AND($J28=$J29,$M29&gt;$M28),$F28,$F29)</f>
        <v>Ghana</v>
      </c>
      <c r="P29" s="180">
        <f>VLOOKUP(O29,$F$28:$M$37,5,FALSE)</f>
        <v>0</v>
      </c>
      <c r="Q29" s="180">
        <f>VLOOKUP(O29,$F$28:$M$37,8,FALSE)</f>
        <v>0</v>
      </c>
      <c r="S29" t="str">
        <f>O29</f>
        <v>Ghana</v>
      </c>
      <c r="T29" s="180">
        <f>VLOOKUP(S29,$O$28:$Q$37,2,FALSE)</f>
        <v>0</v>
      </c>
      <c r="U29" s="180">
        <f>VLOOKUP(S29,$O$28:$Q$37,3,FALSE)</f>
        <v>0</v>
      </c>
      <c r="W29" t="str">
        <f>S29</f>
        <v>Ghana</v>
      </c>
      <c r="X29" s="180">
        <f>VLOOKUP(W29,$S$28:$U$37,2,FALSE)</f>
        <v>0</v>
      </c>
      <c r="Y29" s="180">
        <f>VLOOKUP(W29,$S$28:$U$37,3,FALSE)</f>
        <v>0</v>
      </c>
      <c r="AA29" t="str">
        <f>IF(AND(X29=X30,Y30&gt;Y29),W30,W29)</f>
        <v>Ghana</v>
      </c>
      <c r="AB29" s="180">
        <f>VLOOKUP(AA29,W28:Y37,2,FALSE)</f>
        <v>0</v>
      </c>
      <c r="AC29" s="180">
        <f>VLOOKUP(AA29,W28:Y37,3,FALSE)</f>
        <v>0</v>
      </c>
      <c r="AE29" t="str">
        <f>IF(AND(AB29=AB31,AC31&gt;AC29),AA31,AA29)</f>
        <v>Ghana</v>
      </c>
      <c r="AF29" s="180">
        <f>VLOOKUP(AE29,AA28:AC37,2,FALSE)</f>
        <v>0</v>
      </c>
      <c r="AG29" s="180">
        <f>VLOOKUP(AE29,AA28:AC37,3,FALSE)</f>
        <v>0</v>
      </c>
      <c r="AI29" t="str">
        <f>AE29</f>
        <v>Ghana</v>
      </c>
      <c r="AJ29" s="180">
        <f>VLOOKUP(AI29,AE28:AG37,2,FALSE)</f>
        <v>0</v>
      </c>
      <c r="AK29" s="180">
        <f>VLOOKUP(AI29,AE28:AG37,3,FALSE)</f>
        <v>0</v>
      </c>
    </row>
    <row r="30" spans="6:37" x14ac:dyDescent="0.2">
      <c r="F30" t="str">
        <f>AI18</f>
        <v>EE.UU.</v>
      </c>
      <c r="J30" s="180">
        <f>AJ18</f>
        <v>0</v>
      </c>
      <c r="K30" s="180">
        <f>VLOOKUP(AI18,$F$16:$M$25,6,FALSE)</f>
        <v>0</v>
      </c>
      <c r="L30" s="180">
        <f>VLOOKUP(AI18,$F$16:$M$25,7,FALSE)</f>
        <v>0</v>
      </c>
      <c r="M30" s="180">
        <f>K30-L30</f>
        <v>0</v>
      </c>
      <c r="O30" t="str">
        <f>F30</f>
        <v>EE.UU.</v>
      </c>
      <c r="P30" s="180">
        <f>VLOOKUP(O30,$F$28:$M$37,5,FALSE)</f>
        <v>0</v>
      </c>
      <c r="Q30" s="180">
        <f>VLOOKUP(O30,$F$28:$M$37,8,FALSE)</f>
        <v>0</v>
      </c>
      <c r="S30" t="str">
        <f>IF(AND($P28=P30,Q30&gt;Q28),O28,O30)</f>
        <v>EE.UU.</v>
      </c>
      <c r="T30" s="180">
        <f>VLOOKUP(S30,$O$28:$Q$37,2,FALSE)</f>
        <v>0</v>
      </c>
      <c r="U30" s="180">
        <f>VLOOKUP(S30,$O$28:$Q$37,3,FALSE)</f>
        <v>0</v>
      </c>
      <c r="W30" t="str">
        <f>S30</f>
        <v>EE.UU.</v>
      </c>
      <c r="X30" s="180">
        <f>VLOOKUP(W30,$S$28:$U$37,2,FALSE)</f>
        <v>0</v>
      </c>
      <c r="Y30" s="180">
        <f>VLOOKUP(W30,$S$28:$U$37,3,FALSE)</f>
        <v>0</v>
      </c>
      <c r="AA30" t="str">
        <f>IF(AND(X29=X30,Y30&gt;Y29),W29,W30)</f>
        <v>EE.UU.</v>
      </c>
      <c r="AB30" s="180">
        <f>VLOOKUP(AA30,W28:Y37,2,FALSE)</f>
        <v>0</v>
      </c>
      <c r="AC30" s="180">
        <f>VLOOKUP(AA30,W28:Y37,3,FALSE)</f>
        <v>0</v>
      </c>
      <c r="AE30" t="str">
        <f>AA30</f>
        <v>EE.UU.</v>
      </c>
      <c r="AF30" s="180">
        <f>VLOOKUP(AE30,AA28:AC37,2,FALSE)</f>
        <v>0</v>
      </c>
      <c r="AG30" s="180">
        <f>VLOOKUP(AE30,AA28:AC37,3,FALSE)</f>
        <v>0</v>
      </c>
      <c r="AI30" t="str">
        <f>IF(AND(AF30=AF31,AG31&gt;AG30),AE31,AE30)</f>
        <v>EE.UU.</v>
      </c>
      <c r="AJ30" s="180">
        <f>VLOOKUP(AI30,AE28:AG37,2,FALSE)</f>
        <v>0</v>
      </c>
      <c r="AK30" s="180">
        <f>VLOOKUP(AI30,AE28:AG37,3,FALSE)</f>
        <v>0</v>
      </c>
    </row>
    <row r="31" spans="6:37" x14ac:dyDescent="0.2">
      <c r="F31" t="str">
        <f>AI19</f>
        <v>Rep. Checa</v>
      </c>
      <c r="J31" s="180">
        <f>AJ19</f>
        <v>0</v>
      </c>
      <c r="K31" s="180">
        <f>VLOOKUP(AI19,$F$16:$M$25,6,FALSE)</f>
        <v>0</v>
      </c>
      <c r="L31" s="180">
        <f>VLOOKUP(AI19,$F$16:$M$25,7,FALSE)</f>
        <v>0</v>
      </c>
      <c r="M31" s="180">
        <f>K31-L31</f>
        <v>0</v>
      </c>
      <c r="O31" t="str">
        <f>F31</f>
        <v>Rep. Checa</v>
      </c>
      <c r="P31" s="180">
        <f>VLOOKUP(O31,$F$28:$M$37,5,FALSE)</f>
        <v>0</v>
      </c>
      <c r="Q31" s="180">
        <f>VLOOKUP(O31,$F$28:$M$37,8,FALSE)</f>
        <v>0</v>
      </c>
      <c r="S31" t="str">
        <f>O31</f>
        <v>Rep. Checa</v>
      </c>
      <c r="T31" s="180">
        <f>VLOOKUP(S31,$O$28:$Q$37,2,FALSE)</f>
        <v>0</v>
      </c>
      <c r="U31" s="180">
        <f>VLOOKUP(S31,$O$28:$Q$37,3,FALSE)</f>
        <v>0</v>
      </c>
      <c r="W31" t="str">
        <f>IF(AND(T28=T31,U31&gt;U28),S28,S31)</f>
        <v>Rep. Checa</v>
      </c>
      <c r="X31" s="180">
        <f>VLOOKUP(W31,$S$28:$U$37,2,FALSE)</f>
        <v>0</v>
      </c>
      <c r="Y31" s="180">
        <f>VLOOKUP(W31,$S$28:$U$37,3,FALSE)</f>
        <v>0</v>
      </c>
      <c r="AA31" t="str">
        <f>W31</f>
        <v>Rep. Checa</v>
      </c>
      <c r="AB31" s="180">
        <f>VLOOKUP(AA31,W28:Y37,2,FALSE)</f>
        <v>0</v>
      </c>
      <c r="AC31" s="180">
        <f>VLOOKUP(AA31,W28:Y37,3,FALSE)</f>
        <v>0</v>
      </c>
      <c r="AE31" t="str">
        <f>IF(AND(AB29=AB31,AC31&gt;AC29),AA29,AA31)</f>
        <v>Rep. Checa</v>
      </c>
      <c r="AF31" s="180">
        <f>VLOOKUP(AE31,AA28:AC37,2,FALSE)</f>
        <v>0</v>
      </c>
      <c r="AG31" s="180">
        <f>VLOOKUP(AE31,AA28:AC37,3,FALSE)</f>
        <v>0</v>
      </c>
      <c r="AI31" t="str">
        <f>IF(AND(AF30=AF31,AG31&gt;AG30),AE30,AE31)</f>
        <v>Rep. Checa</v>
      </c>
      <c r="AJ31" s="180">
        <f>VLOOKUP(AI31,AE28:AG37,2,FALSE)</f>
        <v>0</v>
      </c>
      <c r="AK31" s="180">
        <f>VLOOKUP(AI31,AE28:AG37,3,FALSE)</f>
        <v>0</v>
      </c>
    </row>
    <row r="40" spans="6:38" x14ac:dyDescent="0.2">
      <c r="F40" t="str">
        <f>AI28</f>
        <v>Italia</v>
      </c>
      <c r="J40" s="180">
        <f>VLOOKUP(F40,$F$16:$M$25,8,FALSE)</f>
        <v>0</v>
      </c>
      <c r="K40" s="180">
        <f>VLOOKUP(F40,$F$16:$M$25,6,FALSE)</f>
        <v>0</v>
      </c>
      <c r="L40" s="180">
        <f>VLOOKUP(F40,$F$16:$M$25,7,FALSE)</f>
        <v>0</v>
      </c>
      <c r="M40" s="180">
        <f>K40-L40</f>
        <v>0</v>
      </c>
      <c r="O40" t="str">
        <f>IF(AND(J40=J41,M40=M41,K41&gt;K40),F41,F40)</f>
        <v>Italia</v>
      </c>
      <c r="P40" s="180">
        <f>VLOOKUP(O40,$F$40:$M$49,5,FALSE)</f>
        <v>0</v>
      </c>
      <c r="Q40" s="180">
        <f>VLOOKUP(O40,$F$40:$M$49,8,FALSE)</f>
        <v>0</v>
      </c>
      <c r="R40" s="180">
        <f>VLOOKUP(O40,$F$40:$M$49,6,FALSE)</f>
        <v>0</v>
      </c>
      <c r="S40" t="str">
        <f>IF(AND(P40=P42,Q40=Q42,R42&gt;R40),O42,O40)</f>
        <v>Italia</v>
      </c>
      <c r="T40" s="180">
        <f>VLOOKUP(S40,$O$40:$R$49,2,FALSE)</f>
        <v>0</v>
      </c>
      <c r="U40" s="180">
        <f>VLOOKUP(S40,$O$40:$R$49,3,FALSE)</f>
        <v>0</v>
      </c>
      <c r="V40" s="180">
        <f>VLOOKUP(S40,$O$40:$R$49,4,FALSE)</f>
        <v>0</v>
      </c>
      <c r="W40" t="str">
        <f>IF(AND(T40=T43,U40=U43,V43&gt;V40),S43,S40)</f>
        <v>Italia</v>
      </c>
      <c r="X40" s="180">
        <f>VLOOKUP(W40,$S$40:$V$49,2,FALSE)</f>
        <v>0</v>
      </c>
      <c r="Y40" s="180">
        <f>VLOOKUP(W40,$S$40:$V$49,3,FALSE)</f>
        <v>0</v>
      </c>
      <c r="Z40" s="180">
        <f>VLOOKUP(W40,$S$40:$V$49,4,FALSE)</f>
        <v>0</v>
      </c>
      <c r="AA40" t="str">
        <f>W40</f>
        <v>Italia</v>
      </c>
      <c r="AB40" s="180">
        <f>VLOOKUP(AA40,W40:Z49,2,FALSE)</f>
        <v>0</v>
      </c>
      <c r="AC40" s="180">
        <f>VLOOKUP(AA40,W40:Z49,3,FALSE)</f>
        <v>0</v>
      </c>
      <c r="AD40" s="180">
        <f>VLOOKUP(AA40,W40:Z49,4,FALSE)</f>
        <v>0</v>
      </c>
      <c r="AE40" t="str">
        <f>AA40</f>
        <v>Italia</v>
      </c>
      <c r="AF40" s="180">
        <f>VLOOKUP(AE40,AA40:AD49,2,FALSE)</f>
        <v>0</v>
      </c>
      <c r="AG40" s="180">
        <f>VLOOKUP(AE40,AA40:AD49,3,FALSE)</f>
        <v>0</v>
      </c>
      <c r="AH40" s="180">
        <f>VLOOKUP(AE40,AA40:AD49,4,FALSE)</f>
        <v>0</v>
      </c>
      <c r="AI40" t="str">
        <f>AE40</f>
        <v>Italia</v>
      </c>
      <c r="AJ40" s="180">
        <f>VLOOKUP(AI40,AE40:AH49,2,FALSE)</f>
        <v>0</v>
      </c>
      <c r="AK40" s="180">
        <f>VLOOKUP(AI40,AE40:AH49,3,FALSE)</f>
        <v>0</v>
      </c>
      <c r="AL40" s="180">
        <f>VLOOKUP(AI40,AE40:AH49,4,FALSE)</f>
        <v>0</v>
      </c>
    </row>
    <row r="41" spans="6:38" x14ac:dyDescent="0.2">
      <c r="F41" t="str">
        <f>AI29</f>
        <v>Ghana</v>
      </c>
      <c r="J41" s="180">
        <f>VLOOKUP(F41,$F$16:$M$25,8,FALSE)</f>
        <v>0</v>
      </c>
      <c r="K41" s="180">
        <f>VLOOKUP(F41,$F$16:$M$25,6,FALSE)</f>
        <v>0</v>
      </c>
      <c r="L41" s="180">
        <f>VLOOKUP(F41,$F$16:$M$25,7,FALSE)</f>
        <v>0</v>
      </c>
      <c r="M41" s="180">
        <f>K41-L41</f>
        <v>0</v>
      </c>
      <c r="O41" t="str">
        <f>IF(AND(J40=J41,M40=M41,K41&gt;K40),F40,F41)</f>
        <v>Ghana</v>
      </c>
      <c r="P41" s="180">
        <f>VLOOKUP(O41,$F$40:$M$49,5,FALSE)</f>
        <v>0</v>
      </c>
      <c r="Q41" s="180">
        <f>VLOOKUP(O41,$F$40:$M$49,8,FALSE)</f>
        <v>0</v>
      </c>
      <c r="R41" s="180">
        <f>VLOOKUP(O41,$F$40:$M$49,6,FALSE)</f>
        <v>0</v>
      </c>
      <c r="S41" t="str">
        <f>O41</f>
        <v>Ghana</v>
      </c>
      <c r="T41" s="180">
        <f>VLOOKUP(S41,$O$40:$R$49,2,FALSE)</f>
        <v>0</v>
      </c>
      <c r="U41" s="180">
        <f>VLOOKUP(S41,$O$40:$R$49,3,FALSE)</f>
        <v>0</v>
      </c>
      <c r="V41" s="180">
        <f>VLOOKUP(S41,$O$40:$R$49,4,FALSE)</f>
        <v>0</v>
      </c>
      <c r="W41" t="str">
        <f>S41</f>
        <v>Ghana</v>
      </c>
      <c r="X41" s="180">
        <f>VLOOKUP(W41,$S$40:$V$49,2,FALSE)</f>
        <v>0</v>
      </c>
      <c r="Y41" s="180">
        <f>VLOOKUP(W41,$S$40:$V$49,3,FALSE)</f>
        <v>0</v>
      </c>
      <c r="Z41" s="180">
        <f>VLOOKUP(W41,$S$40:$V$49,4,FALSE)</f>
        <v>0</v>
      </c>
      <c r="AA41" t="str">
        <f>IF(AND(X41=X42,Y41=Y42,Z42&gt;Z41),W42,W41)</f>
        <v>Ghana</v>
      </c>
      <c r="AB41" s="180">
        <f>VLOOKUP(AA41,W40:Z49,2,FALSE)</f>
        <v>0</v>
      </c>
      <c r="AC41" s="180">
        <f>VLOOKUP(AA41,W40:Z49,3,FALSE)</f>
        <v>0</v>
      </c>
      <c r="AD41" s="180">
        <f>VLOOKUP(AA41,W40:Z49,4,FALSE)</f>
        <v>0</v>
      </c>
      <c r="AE41" t="str">
        <f>IF(AND(AB41=AB43,AC41=AC43,AD43&gt;AD41),AA43,AA41)</f>
        <v>Ghana</v>
      </c>
      <c r="AF41" s="180">
        <f>VLOOKUP(AE41,AA40:AD49,2,FALSE)</f>
        <v>0</v>
      </c>
      <c r="AG41" s="180">
        <f>VLOOKUP(AE41,AA40:AD49,3,FALSE)</f>
        <v>0</v>
      </c>
      <c r="AH41" s="180">
        <f>VLOOKUP(AE41,AA40:AD49,4,FALSE)</f>
        <v>0</v>
      </c>
      <c r="AI41" t="str">
        <f>AE41</f>
        <v>Ghana</v>
      </c>
      <c r="AJ41" s="180">
        <f>VLOOKUP(AI41,AE40:AH49,2,FALSE)</f>
        <v>0</v>
      </c>
      <c r="AK41" s="180">
        <f>VLOOKUP(AI41,AE40:AH49,3,FALSE)</f>
        <v>0</v>
      </c>
      <c r="AL41" s="180">
        <f>VLOOKUP(AI41,AE40:AH49,4,FALSE)</f>
        <v>0</v>
      </c>
    </row>
    <row r="42" spans="6:38" x14ac:dyDescent="0.2">
      <c r="F42" t="str">
        <f>AI30</f>
        <v>EE.UU.</v>
      </c>
      <c r="J42" s="180">
        <f>VLOOKUP(F42,$F$16:$M$25,8,FALSE)</f>
        <v>0</v>
      </c>
      <c r="K42" s="180">
        <f>VLOOKUP(F42,$F$16:$M$25,6,FALSE)</f>
        <v>0</v>
      </c>
      <c r="L42" s="180">
        <f>VLOOKUP(F42,$F$16:$M$25,7,FALSE)</f>
        <v>0</v>
      </c>
      <c r="M42" s="180">
        <f>K42-L42</f>
        <v>0</v>
      </c>
      <c r="O42" t="str">
        <f>F42</f>
        <v>EE.UU.</v>
      </c>
      <c r="P42" s="180">
        <f>VLOOKUP(O42,$F$40:$M$49,5,FALSE)</f>
        <v>0</v>
      </c>
      <c r="Q42" s="180">
        <f>VLOOKUP(O42,$F$40:$M$49,8,FALSE)</f>
        <v>0</v>
      </c>
      <c r="R42" s="180">
        <f>VLOOKUP(O42,$F$40:$M$49,6,FALSE)</f>
        <v>0</v>
      </c>
      <c r="S42" t="str">
        <f>IF(AND(P40=P42,Q40=Q42,R42&gt;R40),O40,O42)</f>
        <v>EE.UU.</v>
      </c>
      <c r="T42" s="180">
        <f>VLOOKUP(S42,$O$40:$R$49,2,FALSE)</f>
        <v>0</v>
      </c>
      <c r="U42" s="180">
        <f>VLOOKUP(S42,$O$40:$R$49,3,FALSE)</f>
        <v>0</v>
      </c>
      <c r="V42" s="180">
        <f>VLOOKUP(S42,$O$40:$R$49,4,FALSE)</f>
        <v>0</v>
      </c>
      <c r="W42" t="str">
        <f>S42</f>
        <v>EE.UU.</v>
      </c>
      <c r="X42" s="180">
        <f>VLOOKUP(W42,$S$40:$V$49,2,FALSE)</f>
        <v>0</v>
      </c>
      <c r="Y42" s="180">
        <f>VLOOKUP(W42,$S$40:$V$49,3,FALSE)</f>
        <v>0</v>
      </c>
      <c r="Z42" s="180">
        <f>VLOOKUP(W42,$S$40:$V$49,4,FALSE)</f>
        <v>0</v>
      </c>
      <c r="AA42" t="str">
        <f>IF(AND(X41=X42,Y41=Y42,Z42&gt;Z41),W41,W42)</f>
        <v>EE.UU.</v>
      </c>
      <c r="AB42" s="180">
        <f>VLOOKUP(AA42,W40:Z49,2,FALSE)</f>
        <v>0</v>
      </c>
      <c r="AC42" s="180">
        <f>VLOOKUP(AA42,W40:Z49,3,FALSE)</f>
        <v>0</v>
      </c>
      <c r="AD42" s="180">
        <f>VLOOKUP(AA42,W40:Z49,4,FALSE)</f>
        <v>0</v>
      </c>
      <c r="AE42" t="str">
        <f>AA42</f>
        <v>EE.UU.</v>
      </c>
      <c r="AF42" s="180">
        <f>VLOOKUP(AE42,AA40:AD49,2,FALSE)</f>
        <v>0</v>
      </c>
      <c r="AG42" s="180">
        <f>VLOOKUP(AE42,AA40:AD49,3,FALSE)</f>
        <v>0</v>
      </c>
      <c r="AH42" s="180">
        <f>VLOOKUP(AE42,AA40:AD49,4,FALSE)</f>
        <v>0</v>
      </c>
      <c r="AI42" t="str">
        <f>IF(AND(AF42=AF43,AG42=AG43,AH43&gt;AH42),AE43,AE42)</f>
        <v>EE.UU.</v>
      </c>
      <c r="AJ42" s="180">
        <f>VLOOKUP(AI42,AE40:AH49,2,FALSE)</f>
        <v>0</v>
      </c>
      <c r="AK42" s="180">
        <f>VLOOKUP(AI42,AE40:AH49,3,FALSE)</f>
        <v>0</v>
      </c>
      <c r="AL42" s="180">
        <f>VLOOKUP(AI42,AE40:AH49,4,FALSE)</f>
        <v>0</v>
      </c>
    </row>
    <row r="43" spans="6:38" x14ac:dyDescent="0.2">
      <c r="F43" t="str">
        <f>AI31</f>
        <v>Rep. Checa</v>
      </c>
      <c r="J43" s="180">
        <f>VLOOKUP(F43,$F$16:$M$25,8,FALSE)</f>
        <v>0</v>
      </c>
      <c r="K43" s="180">
        <f>VLOOKUP(F43,$F$16:$M$25,6,FALSE)</f>
        <v>0</v>
      </c>
      <c r="L43" s="180">
        <f>VLOOKUP(F43,$F$16:$M$25,7,FALSE)</f>
        <v>0</v>
      </c>
      <c r="M43" s="180">
        <f>K43-L43</f>
        <v>0</v>
      </c>
      <c r="O43" t="str">
        <f>F43</f>
        <v>Rep. Checa</v>
      </c>
      <c r="P43" s="180">
        <f>VLOOKUP(O43,$F$40:$M$49,5,FALSE)</f>
        <v>0</v>
      </c>
      <c r="Q43" s="180">
        <f>VLOOKUP(O43,$F$40:$M$49,8,FALSE)</f>
        <v>0</v>
      </c>
      <c r="R43" s="180">
        <f>VLOOKUP(O43,$F$40:$M$49,6,FALSE)</f>
        <v>0</v>
      </c>
      <c r="S43" t="str">
        <f>O43</f>
        <v>Rep. Checa</v>
      </c>
      <c r="T43" s="180">
        <f>VLOOKUP(S43,$O$40:$R$49,2,FALSE)</f>
        <v>0</v>
      </c>
      <c r="U43" s="180">
        <f>VLOOKUP(S43,$O$40:$R$49,3,FALSE)</f>
        <v>0</v>
      </c>
      <c r="V43" s="180">
        <f>VLOOKUP(S43,$O$40:$R$49,4,FALSE)</f>
        <v>0</v>
      </c>
      <c r="W43" t="str">
        <f>IF(AND(T40=T43,U40=U43,V43&gt;V40),S40,S43)</f>
        <v>Rep. Checa</v>
      </c>
      <c r="X43" s="180">
        <f>VLOOKUP(W43,$S$40:$V$49,2,FALSE)</f>
        <v>0</v>
      </c>
      <c r="Y43" s="180">
        <f>VLOOKUP(W43,$S$40:$V$49,3,FALSE)</f>
        <v>0</v>
      </c>
      <c r="Z43" s="180">
        <f>VLOOKUP(W43,$S$40:$V$49,4,FALSE)</f>
        <v>0</v>
      </c>
      <c r="AA43" t="str">
        <f>W43</f>
        <v>Rep. Checa</v>
      </c>
      <c r="AB43" s="180">
        <f>VLOOKUP(AA43,W40:Z49,2,FALSE)</f>
        <v>0</v>
      </c>
      <c r="AC43" s="180">
        <f>VLOOKUP(AA43,W40:Z49,3,FALSE)</f>
        <v>0</v>
      </c>
      <c r="AD43" s="180">
        <f>VLOOKUP(AA43,W40:Z49,4,FALSE)</f>
        <v>0</v>
      </c>
      <c r="AE43" t="str">
        <f>IF(AND(AB41=AB43,AC41=AC43,AD43&gt;AD41),AA41,AA43)</f>
        <v>Rep. Checa</v>
      </c>
      <c r="AF43" s="180">
        <f>VLOOKUP(AE43,AA40:AD49,2,FALSE)</f>
        <v>0</v>
      </c>
      <c r="AG43" s="180">
        <f>VLOOKUP(AE43,AA40:AD49,3,FALSE)</f>
        <v>0</v>
      </c>
      <c r="AH43" s="180">
        <f>VLOOKUP(AE43,AA40:AD49,4,FALSE)</f>
        <v>0</v>
      </c>
      <c r="AI43" t="str">
        <f>IF(AND(AF42=AF43,AG42=AG43,AH43&gt;AH42),AE42,AE43)</f>
        <v>Rep. Checa</v>
      </c>
      <c r="AJ43" s="180">
        <f>VLOOKUP(AI43,AE40:AH49,2,FALSE)</f>
        <v>0</v>
      </c>
      <c r="AK43" s="180">
        <f>VLOOKUP(AI43,AE40:AH49,3,FALSE)</f>
        <v>0</v>
      </c>
      <c r="AL43" s="180">
        <f>VLOOKUP(AI43,AE40:AH49,4,FALSE)</f>
        <v>0</v>
      </c>
    </row>
    <row r="51" spans="6:13" x14ac:dyDescent="0.2">
      <c r="F51" t="s">
        <v>162</v>
      </c>
    </row>
    <row r="52" spans="6:13" x14ac:dyDescent="0.2">
      <c r="F52" t="str">
        <f>AI40</f>
        <v>Italia</v>
      </c>
      <c r="G52" s="180">
        <f>VLOOKUP(F52,$F$16:$M$25,2,FALSE)</f>
        <v>0</v>
      </c>
      <c r="H52" s="180">
        <f>VLOOKUP(F52,$F$16:$M$25,3,FALSE)</f>
        <v>0</v>
      </c>
      <c r="I52" s="180">
        <f>VLOOKUP(F52,$F$16:$M$25,4,FALSE)</f>
        <v>0</v>
      </c>
      <c r="J52" s="180">
        <f>VLOOKUP(F52,$F$16:$M$25,5,FALSE)</f>
        <v>0</v>
      </c>
      <c r="K52" s="180">
        <f>VLOOKUP(F52,$F$16:$M$25,6,FALSE)</f>
        <v>0</v>
      </c>
      <c r="L52" s="180">
        <f>VLOOKUP(F52,$F$16:$M$25,7,FALSE)</f>
        <v>0</v>
      </c>
      <c r="M52" s="180">
        <f>VLOOKUP(F52,$F$16:$M$25,8,FALSE)</f>
        <v>0</v>
      </c>
    </row>
    <row r="53" spans="6:13" x14ac:dyDescent="0.2">
      <c r="F53" t="str">
        <f>AI41</f>
        <v>Ghana</v>
      </c>
      <c r="G53" s="180">
        <f>VLOOKUP(F53,$F$16:$M$25,2,FALSE)</f>
        <v>0</v>
      </c>
      <c r="H53" s="180">
        <f>VLOOKUP(F53,$F$16:$M$25,3,FALSE)</f>
        <v>0</v>
      </c>
      <c r="I53" s="180">
        <f>VLOOKUP(F53,$F$16:$M$25,4,FALSE)</f>
        <v>0</v>
      </c>
      <c r="J53" s="180">
        <f>VLOOKUP(F53,$F$16:$M$25,5,FALSE)</f>
        <v>0</v>
      </c>
      <c r="K53" s="180">
        <f>VLOOKUP(F53,$F$16:$M$25,6,FALSE)</f>
        <v>0</v>
      </c>
      <c r="L53" s="180">
        <f>VLOOKUP(F53,$F$16:$M$25,7,FALSE)</f>
        <v>0</v>
      </c>
      <c r="M53" s="180">
        <f>VLOOKUP(F53,$F$16:$M$25,8,FALSE)</f>
        <v>0</v>
      </c>
    </row>
    <row r="54" spans="6:13" x14ac:dyDescent="0.2">
      <c r="F54" t="str">
        <f>AI42</f>
        <v>EE.UU.</v>
      </c>
      <c r="G54" s="180">
        <f>VLOOKUP(F54,$F$16:$M$25,2,FALSE)</f>
        <v>0</v>
      </c>
      <c r="H54" s="180">
        <f>VLOOKUP(F54,$F$16:$M$25,3,FALSE)</f>
        <v>0</v>
      </c>
      <c r="I54" s="180">
        <f>VLOOKUP(F54,$F$16:$M$25,4,FALSE)</f>
        <v>0</v>
      </c>
      <c r="J54" s="180">
        <f>VLOOKUP(F54,$F$16:$M$25,5,FALSE)</f>
        <v>0</v>
      </c>
      <c r="K54" s="180">
        <f>VLOOKUP(F54,$F$16:$M$25,6,FALSE)</f>
        <v>0</v>
      </c>
      <c r="L54" s="180">
        <f>VLOOKUP(F54,$F$16:$M$25,7,FALSE)</f>
        <v>0</v>
      </c>
      <c r="M54" s="180">
        <f>VLOOKUP(F54,$F$16:$M$25,8,FALSE)</f>
        <v>0</v>
      </c>
    </row>
    <row r="55" spans="6:13" x14ac:dyDescent="0.2">
      <c r="F55" t="str">
        <f>AI43</f>
        <v>Rep. Checa</v>
      </c>
      <c r="G55" s="180">
        <f>VLOOKUP(F55,$F$16:$M$25,2,FALSE)</f>
        <v>0</v>
      </c>
      <c r="H55" s="180">
        <f>VLOOKUP(F55,$F$16:$M$25,3,FALSE)</f>
        <v>0</v>
      </c>
      <c r="I55" s="180">
        <f>VLOOKUP(F55,$F$16:$M$25,4,FALSE)</f>
        <v>0</v>
      </c>
      <c r="J55" s="180">
        <f>VLOOKUP(F55,$F$16:$M$25,5,FALSE)</f>
        <v>0</v>
      </c>
      <c r="K55" s="180">
        <f>VLOOKUP(F55,$F$16:$M$25,6,FALSE)</f>
        <v>0</v>
      </c>
      <c r="L55" s="180">
        <f>VLOOKUP(F55,$F$16:$M$25,7,FALSE)</f>
        <v>0</v>
      </c>
      <c r="M55" s="180">
        <f>VLOOKUP(F55,$F$16:$M$25,8,FALSE)</f>
        <v>0</v>
      </c>
    </row>
  </sheetData>
  <mergeCells count="1">
    <mergeCell ref="A2:E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55"/>
  <sheetViews>
    <sheetView showGridLines="0" showRowColHeaders="0" showOutlineSymbols="0" workbookViewId="0">
      <pane xSplit="5" topLeftCell="F1" activePane="topRight" state="frozen"/>
      <selection pane="topRight"/>
    </sheetView>
  </sheetViews>
  <sheetFormatPr baseColWidth="10" defaultColWidth="3.7109375" defaultRowHeight="12.75" x14ac:dyDescent="0.2"/>
  <cols>
    <col min="1" max="1" width="9.140625" customWidth="1"/>
    <col min="2" max="2" width="2.7109375" customWidth="1"/>
    <col min="3" max="3" width="1.5703125" customWidth="1"/>
    <col min="4" max="4" width="2.7109375" customWidth="1"/>
    <col min="5" max="5" width="9.140625" customWidth="1"/>
    <col min="6" max="6" width="10.85546875" customWidth="1"/>
  </cols>
  <sheetData>
    <row r="2" spans="1:36" x14ac:dyDescent="0.2">
      <c r="A2" s="219" t="s">
        <v>146</v>
      </c>
      <c r="B2" s="219"/>
      <c r="C2" s="219"/>
      <c r="D2" s="219"/>
      <c r="E2" s="219"/>
      <c r="G2" t="str">
        <f>'Grupo D'!Q7</f>
        <v>Mexico</v>
      </c>
      <c r="N2" t="str">
        <f>'Grupo D'!Q9</f>
        <v>Iran</v>
      </c>
      <c r="U2" t="str">
        <f>'Grupo D'!Q11</f>
        <v>Angola</v>
      </c>
      <c r="AB2" t="str">
        <f>'Grupo D'!Q13</f>
        <v>Portugal</v>
      </c>
    </row>
    <row r="3" spans="1:36" x14ac:dyDescent="0.2">
      <c r="F3" t="s">
        <v>147</v>
      </c>
      <c r="G3" t="s">
        <v>148</v>
      </c>
      <c r="H3" t="s">
        <v>149</v>
      </c>
      <c r="I3" t="s">
        <v>150</v>
      </c>
      <c r="J3" t="s">
        <v>151</v>
      </c>
      <c r="K3" t="s">
        <v>152</v>
      </c>
      <c r="L3" t="s">
        <v>153</v>
      </c>
      <c r="N3" t="s">
        <v>148</v>
      </c>
      <c r="O3" t="s">
        <v>149</v>
      </c>
      <c r="P3" t="s">
        <v>150</v>
      </c>
      <c r="Q3" t="s">
        <v>151</v>
      </c>
      <c r="R3" t="s">
        <v>152</v>
      </c>
      <c r="S3" t="s">
        <v>153</v>
      </c>
      <c r="U3" t="s">
        <v>148</v>
      </c>
      <c r="V3" t="s">
        <v>149</v>
      </c>
      <c r="W3" t="s">
        <v>150</v>
      </c>
      <c r="X3" t="s">
        <v>151</v>
      </c>
      <c r="Y3" t="s">
        <v>152</v>
      </c>
      <c r="Z3" t="s">
        <v>153</v>
      </c>
      <c r="AB3" t="s">
        <v>148</v>
      </c>
      <c r="AC3" t="s">
        <v>149</v>
      </c>
      <c r="AD3" t="s">
        <v>150</v>
      </c>
      <c r="AE3" t="s">
        <v>151</v>
      </c>
      <c r="AF3" t="s">
        <v>152</v>
      </c>
      <c r="AG3" t="s">
        <v>153</v>
      </c>
    </row>
    <row r="4" spans="1:36" x14ac:dyDescent="0.2">
      <c r="A4" s="177" t="str">
        <f>'Grupo D'!B6</f>
        <v>Mexico</v>
      </c>
      <c r="B4" s="178">
        <f>'Grupo D'!C6</f>
        <v>0</v>
      </c>
      <c r="C4" s="178" t="str">
        <f>'Grupo D'!D6</f>
        <v>-</v>
      </c>
      <c r="D4" s="178">
        <f>'Grupo D'!E6</f>
        <v>0</v>
      </c>
      <c r="E4" s="179" t="str">
        <f>'Grupo D'!F6</f>
        <v>Iran</v>
      </c>
      <c r="F4" s="178">
        <f>COUNTBLANK('Grupo D'!C6:E6)</f>
        <v>2</v>
      </c>
      <c r="G4" s="180">
        <f t="shared" ref="G4:G9" si="0">IF(AND(F4=0,OR($A4=$G$2,$E4=$G$2)),1,0)</f>
        <v>0</v>
      </c>
      <c r="H4" s="180">
        <f t="shared" ref="H4:H9" si="1">IF(AND(F4=0,OR(AND($A4=$G$2,$B4&gt;$D4),AND($E4=$G$2,$D4&gt;$B4))),1,0)</f>
        <v>0</v>
      </c>
      <c r="I4" s="180">
        <f t="shared" ref="I4:I9" si="2">IF(AND(F4=0,G4=1,$B4=$D4),1,0)</f>
        <v>0</v>
      </c>
      <c r="J4" s="180">
        <f t="shared" ref="J4:J9" si="3">IF(AND(F4=0,OR(AND($A4=$G$2,$B4&lt;$D4),AND($E4=$G$2,$D4&lt;$B4))),1,0)</f>
        <v>0</v>
      </c>
      <c r="K4" s="180">
        <f t="shared" ref="K4:K9" si="4">IF(F4&gt;0,0,IF($A4=$G$2,$B4,IF($E4=$G$2,$D4,0)))</f>
        <v>0</v>
      </c>
      <c r="L4" s="180">
        <f t="shared" ref="L4:L9" si="5">IF(F4&gt;0,0,IF($A4=$G$2,$D4,IF($E4=$G$2,$B4,0)))</f>
        <v>0</v>
      </c>
      <c r="N4" s="180">
        <f t="shared" ref="N4:N9" si="6">IF(AND(F4=0,OR($A4=$N$2,$E4=$N$2)),1,0)</f>
        <v>0</v>
      </c>
      <c r="O4" s="180">
        <f t="shared" ref="O4:O9" si="7">IF(AND(F4=0,OR(AND($A4=$N$2,$B4&gt;$D4),AND($E4=$N$2,$D4&gt;$B4))),1,0)</f>
        <v>0</v>
      </c>
      <c r="P4" s="180">
        <f t="shared" ref="P4:P9" si="8">IF(AND(F4=0,N4=1,$B4=$D4),1,0)</f>
        <v>0</v>
      </c>
      <c r="Q4" s="180">
        <f t="shared" ref="Q4:Q9" si="9">IF(AND(F4=0,OR(AND($A4=$N$2,$B4&lt;$D4),AND($E4=$N$2,$D4&lt;$B4))),1,0)</f>
        <v>0</v>
      </c>
      <c r="R4" s="180">
        <f t="shared" ref="R4:R9" si="10">IF(F4&gt;0,0,IF($A4=$N$2,$B4,IF($E4=$N$2,$D4,0)))</f>
        <v>0</v>
      </c>
      <c r="S4" s="180">
        <f t="shared" ref="S4:S9" si="11">IF(F4&gt;0,0,IF($A4=$N$2,$D4,IF($E4=$N$2,$B4,0)))</f>
        <v>0</v>
      </c>
      <c r="U4" s="180">
        <f t="shared" ref="U4:U9" si="12">IF(AND(F4=0,OR($A4=$U$2,$E4=$U$2)),1,0)</f>
        <v>0</v>
      </c>
      <c r="V4" s="180">
        <f t="shared" ref="V4:V9" si="13">IF(AND(F4=0,OR(AND($A4=$U$2,$B4&gt;$D4),AND($E4=$U$2,$D4&gt;$B4))),1,0)</f>
        <v>0</v>
      </c>
      <c r="W4" s="180">
        <f t="shared" ref="W4:W9" si="14">IF(AND(F4=0,U4=1,$B4=$D4),1,0)</f>
        <v>0</v>
      </c>
      <c r="X4" s="180">
        <f t="shared" ref="X4:X9" si="15">IF(AND(F4=0,OR(AND($A4=$U$2,$B4&lt;$D4),AND($E4=$U$2,$D4&lt;$B4))),1,0)</f>
        <v>0</v>
      </c>
      <c r="Y4" s="180">
        <f t="shared" ref="Y4:Y9" si="16">IF(F4&gt;0,0,IF($A4=$U$2,$B4,IF($E4=$U$2,$D4,0)))</f>
        <v>0</v>
      </c>
      <c r="Z4" s="180">
        <f t="shared" ref="Z4:Z9" si="17">IF(F4&gt;0,0,IF($A4=$U$2,$D4,IF($E4=$U$2,$B4,0)))</f>
        <v>0</v>
      </c>
      <c r="AB4" s="180">
        <f t="shared" ref="AB4:AB9" si="18">IF(AND(F4=0,OR($A4=$AB$2,$E4=$AB$2)),1,0)</f>
        <v>0</v>
      </c>
      <c r="AC4" s="180">
        <f t="shared" ref="AC4:AC9" si="19">IF(AND(F4=0,OR(AND($A4=$AB$2,$B4&gt;$D4),AND($E4=$AB$2,$D4&gt;$B4))),1,0)</f>
        <v>0</v>
      </c>
      <c r="AD4" s="180">
        <f t="shared" ref="AD4:AD9" si="20">IF(AND(F4=0,AB4=1,$B4=$D4),1,0)</f>
        <v>0</v>
      </c>
      <c r="AE4" s="180">
        <f t="shared" ref="AE4:AE9" si="21">IF(AND(F4=0,OR(AND($A4=$AB$2,$B4&lt;$D4),AND($E4=$AB$2,$D4&lt;$B4))),1,0)</f>
        <v>0</v>
      </c>
      <c r="AF4" s="180">
        <f t="shared" ref="AF4:AF9" si="22">IF(F4&gt;0,0,IF($A4=$AB$2,$B4,IF($E4=$AB$2,$D4,0)))</f>
        <v>0</v>
      </c>
      <c r="AG4" s="180">
        <f t="shared" ref="AG4:AG9" si="23">IF(F4&gt;0,0,IF($A4=$AB$2,$D4,IF($E4=$AB$2,$B4,0)))</f>
        <v>0</v>
      </c>
    </row>
    <row r="5" spans="1:36" x14ac:dyDescent="0.2">
      <c r="A5" s="177" t="str">
        <f>'Grupo D'!B7</f>
        <v>Angola</v>
      </c>
      <c r="B5" s="178">
        <f>'Grupo D'!C7</f>
        <v>0</v>
      </c>
      <c r="C5" s="178" t="str">
        <f>'Grupo D'!D7</f>
        <v>-</v>
      </c>
      <c r="D5" s="178">
        <f>'Grupo D'!E7</f>
        <v>0</v>
      </c>
      <c r="E5" s="179" t="str">
        <f>'Grupo D'!F7</f>
        <v>Portugal</v>
      </c>
      <c r="F5" s="178">
        <f>COUNTBLANK('Grupo D'!C7:E7)</f>
        <v>2</v>
      </c>
      <c r="G5" s="180">
        <f t="shared" si="0"/>
        <v>0</v>
      </c>
      <c r="H5" s="180">
        <f t="shared" si="1"/>
        <v>0</v>
      </c>
      <c r="I5" s="180">
        <f t="shared" si="2"/>
        <v>0</v>
      </c>
      <c r="J5" s="180">
        <f t="shared" si="3"/>
        <v>0</v>
      </c>
      <c r="K5" s="180">
        <f t="shared" si="4"/>
        <v>0</v>
      </c>
      <c r="L5" s="180">
        <f t="shared" si="5"/>
        <v>0</v>
      </c>
      <c r="N5" s="180">
        <f t="shared" si="6"/>
        <v>0</v>
      </c>
      <c r="O5" s="180">
        <f t="shared" si="7"/>
        <v>0</v>
      </c>
      <c r="P5" s="180">
        <f t="shared" si="8"/>
        <v>0</v>
      </c>
      <c r="Q5" s="180">
        <f t="shared" si="9"/>
        <v>0</v>
      </c>
      <c r="R5" s="180">
        <f t="shared" si="10"/>
        <v>0</v>
      </c>
      <c r="S5" s="180">
        <f t="shared" si="11"/>
        <v>0</v>
      </c>
      <c r="U5" s="180">
        <f t="shared" si="12"/>
        <v>0</v>
      </c>
      <c r="V5" s="180">
        <f t="shared" si="13"/>
        <v>0</v>
      </c>
      <c r="W5" s="180">
        <f t="shared" si="14"/>
        <v>0</v>
      </c>
      <c r="X5" s="180">
        <f t="shared" si="15"/>
        <v>0</v>
      </c>
      <c r="Y5" s="180">
        <f t="shared" si="16"/>
        <v>0</v>
      </c>
      <c r="Z5" s="180">
        <f t="shared" si="17"/>
        <v>0</v>
      </c>
      <c r="AB5" s="180">
        <f t="shared" si="18"/>
        <v>0</v>
      </c>
      <c r="AC5" s="180">
        <f t="shared" si="19"/>
        <v>0</v>
      </c>
      <c r="AD5" s="180">
        <f t="shared" si="20"/>
        <v>0</v>
      </c>
      <c r="AE5" s="180">
        <f t="shared" si="21"/>
        <v>0</v>
      </c>
      <c r="AF5" s="180">
        <f t="shared" si="22"/>
        <v>0</v>
      </c>
      <c r="AG5" s="180">
        <f t="shared" si="23"/>
        <v>0</v>
      </c>
    </row>
    <row r="6" spans="1:36" x14ac:dyDescent="0.2">
      <c r="A6" s="177" t="str">
        <f>'Grupo D'!B8</f>
        <v>Mexico</v>
      </c>
      <c r="B6" s="178">
        <f>'Grupo D'!C8</f>
        <v>0</v>
      </c>
      <c r="C6" s="178" t="str">
        <f>'Grupo D'!D8</f>
        <v>-</v>
      </c>
      <c r="D6" s="178">
        <f>'Grupo D'!E8</f>
        <v>0</v>
      </c>
      <c r="E6" s="179" t="str">
        <f>'Grupo D'!F8</f>
        <v>Angola</v>
      </c>
      <c r="F6" s="178">
        <f>COUNTBLANK('Grupo D'!C8:E8)</f>
        <v>2</v>
      </c>
      <c r="G6" s="180">
        <f t="shared" si="0"/>
        <v>0</v>
      </c>
      <c r="H6" s="180">
        <f t="shared" si="1"/>
        <v>0</v>
      </c>
      <c r="I6" s="180">
        <f t="shared" si="2"/>
        <v>0</v>
      </c>
      <c r="J6" s="180">
        <f t="shared" si="3"/>
        <v>0</v>
      </c>
      <c r="K6" s="180">
        <f t="shared" si="4"/>
        <v>0</v>
      </c>
      <c r="L6" s="180">
        <f t="shared" si="5"/>
        <v>0</v>
      </c>
      <c r="N6" s="180">
        <f t="shared" si="6"/>
        <v>0</v>
      </c>
      <c r="O6" s="180">
        <f t="shared" si="7"/>
        <v>0</v>
      </c>
      <c r="P6" s="180">
        <f t="shared" si="8"/>
        <v>0</v>
      </c>
      <c r="Q6" s="180">
        <f t="shared" si="9"/>
        <v>0</v>
      </c>
      <c r="R6" s="180">
        <f t="shared" si="10"/>
        <v>0</v>
      </c>
      <c r="S6" s="180">
        <f t="shared" si="11"/>
        <v>0</v>
      </c>
      <c r="U6" s="180">
        <f t="shared" si="12"/>
        <v>0</v>
      </c>
      <c r="V6" s="180">
        <f t="shared" si="13"/>
        <v>0</v>
      </c>
      <c r="W6" s="180">
        <f t="shared" si="14"/>
        <v>0</v>
      </c>
      <c r="X6" s="180">
        <f t="shared" si="15"/>
        <v>0</v>
      </c>
      <c r="Y6" s="180">
        <f t="shared" si="16"/>
        <v>0</v>
      </c>
      <c r="Z6" s="180">
        <f t="shared" si="17"/>
        <v>0</v>
      </c>
      <c r="AB6" s="180">
        <f t="shared" si="18"/>
        <v>0</v>
      </c>
      <c r="AC6" s="180">
        <f t="shared" si="19"/>
        <v>0</v>
      </c>
      <c r="AD6" s="180">
        <f t="shared" si="20"/>
        <v>0</v>
      </c>
      <c r="AE6" s="180">
        <f t="shared" si="21"/>
        <v>0</v>
      </c>
      <c r="AF6" s="180">
        <f t="shared" si="22"/>
        <v>0</v>
      </c>
      <c r="AG6" s="180">
        <f t="shared" si="23"/>
        <v>0</v>
      </c>
    </row>
    <row r="7" spans="1:36" x14ac:dyDescent="0.2">
      <c r="A7" s="177" t="str">
        <f>'Grupo D'!B9</f>
        <v>Portugal</v>
      </c>
      <c r="B7" s="178">
        <f>'Grupo D'!C9</f>
        <v>0</v>
      </c>
      <c r="C7" s="178" t="str">
        <f>'Grupo D'!D9</f>
        <v>-</v>
      </c>
      <c r="D7" s="178">
        <f>'Grupo D'!E9</f>
        <v>0</v>
      </c>
      <c r="E7" s="179" t="str">
        <f>'Grupo D'!F9</f>
        <v>Iran</v>
      </c>
      <c r="F7" s="178">
        <f>COUNTBLANK('Grupo D'!C9:E9)</f>
        <v>2</v>
      </c>
      <c r="G7" s="180">
        <f t="shared" si="0"/>
        <v>0</v>
      </c>
      <c r="H7" s="180">
        <f t="shared" si="1"/>
        <v>0</v>
      </c>
      <c r="I7" s="180">
        <f t="shared" si="2"/>
        <v>0</v>
      </c>
      <c r="J7" s="180">
        <f t="shared" si="3"/>
        <v>0</v>
      </c>
      <c r="K7" s="180">
        <f t="shared" si="4"/>
        <v>0</v>
      </c>
      <c r="L7" s="180">
        <f t="shared" si="5"/>
        <v>0</v>
      </c>
      <c r="N7" s="180">
        <f t="shared" si="6"/>
        <v>0</v>
      </c>
      <c r="O7" s="180">
        <f t="shared" si="7"/>
        <v>0</v>
      </c>
      <c r="P7" s="180">
        <f t="shared" si="8"/>
        <v>0</v>
      </c>
      <c r="Q7" s="180">
        <f t="shared" si="9"/>
        <v>0</v>
      </c>
      <c r="R7" s="180">
        <f t="shared" si="10"/>
        <v>0</v>
      </c>
      <c r="S7" s="180">
        <f t="shared" si="11"/>
        <v>0</v>
      </c>
      <c r="U7" s="180">
        <f t="shared" si="12"/>
        <v>0</v>
      </c>
      <c r="V7" s="180">
        <f t="shared" si="13"/>
        <v>0</v>
      </c>
      <c r="W7" s="180">
        <f t="shared" si="14"/>
        <v>0</v>
      </c>
      <c r="X7" s="180">
        <f t="shared" si="15"/>
        <v>0</v>
      </c>
      <c r="Y7" s="180">
        <f t="shared" si="16"/>
        <v>0</v>
      </c>
      <c r="Z7" s="180">
        <f t="shared" si="17"/>
        <v>0</v>
      </c>
      <c r="AB7" s="180">
        <f t="shared" si="18"/>
        <v>0</v>
      </c>
      <c r="AC7" s="180">
        <f t="shared" si="19"/>
        <v>0</v>
      </c>
      <c r="AD7" s="180">
        <f t="shared" si="20"/>
        <v>0</v>
      </c>
      <c r="AE7" s="180">
        <f t="shared" si="21"/>
        <v>0</v>
      </c>
      <c r="AF7" s="180">
        <f t="shared" si="22"/>
        <v>0</v>
      </c>
      <c r="AG7" s="180">
        <f t="shared" si="23"/>
        <v>0</v>
      </c>
    </row>
    <row r="8" spans="1:36" x14ac:dyDescent="0.2">
      <c r="A8" s="177" t="str">
        <f>'Grupo D'!B10</f>
        <v>Portugal</v>
      </c>
      <c r="B8" s="178">
        <f>'Grupo D'!C10</f>
        <v>0</v>
      </c>
      <c r="C8" s="178" t="str">
        <f>'Grupo D'!D10</f>
        <v>-</v>
      </c>
      <c r="D8" s="178">
        <f>'Grupo D'!E10</f>
        <v>0</v>
      </c>
      <c r="E8" s="179" t="str">
        <f>'Grupo D'!F10</f>
        <v>Mexico</v>
      </c>
      <c r="F8" s="178">
        <f>COUNTBLANK('Grupo D'!C10:E10)</f>
        <v>2</v>
      </c>
      <c r="G8" s="180">
        <f t="shared" si="0"/>
        <v>0</v>
      </c>
      <c r="H8" s="180">
        <f t="shared" si="1"/>
        <v>0</v>
      </c>
      <c r="I8" s="180">
        <f t="shared" si="2"/>
        <v>0</v>
      </c>
      <c r="J8" s="180">
        <f t="shared" si="3"/>
        <v>0</v>
      </c>
      <c r="K8" s="180">
        <f t="shared" si="4"/>
        <v>0</v>
      </c>
      <c r="L8" s="180">
        <f t="shared" si="5"/>
        <v>0</v>
      </c>
      <c r="N8" s="180">
        <f t="shared" si="6"/>
        <v>0</v>
      </c>
      <c r="O8" s="180">
        <f t="shared" si="7"/>
        <v>0</v>
      </c>
      <c r="P8" s="180">
        <f t="shared" si="8"/>
        <v>0</v>
      </c>
      <c r="Q8" s="180">
        <f t="shared" si="9"/>
        <v>0</v>
      </c>
      <c r="R8" s="180">
        <f t="shared" si="10"/>
        <v>0</v>
      </c>
      <c r="S8" s="180">
        <f t="shared" si="11"/>
        <v>0</v>
      </c>
      <c r="U8" s="180">
        <f t="shared" si="12"/>
        <v>0</v>
      </c>
      <c r="V8" s="180">
        <f t="shared" si="13"/>
        <v>0</v>
      </c>
      <c r="W8" s="180">
        <f t="shared" si="14"/>
        <v>0</v>
      </c>
      <c r="X8" s="180">
        <f t="shared" si="15"/>
        <v>0</v>
      </c>
      <c r="Y8" s="180">
        <f t="shared" si="16"/>
        <v>0</v>
      </c>
      <c r="Z8" s="180">
        <f t="shared" si="17"/>
        <v>0</v>
      </c>
      <c r="AB8" s="180">
        <f t="shared" si="18"/>
        <v>0</v>
      </c>
      <c r="AC8" s="180">
        <f t="shared" si="19"/>
        <v>0</v>
      </c>
      <c r="AD8" s="180">
        <f t="shared" si="20"/>
        <v>0</v>
      </c>
      <c r="AE8" s="180">
        <f t="shared" si="21"/>
        <v>0</v>
      </c>
      <c r="AF8" s="180">
        <f t="shared" si="22"/>
        <v>0</v>
      </c>
      <c r="AG8" s="180">
        <f t="shared" si="23"/>
        <v>0</v>
      </c>
    </row>
    <row r="9" spans="1:36" x14ac:dyDescent="0.2">
      <c r="A9" s="177" t="str">
        <f>'Grupo D'!B11</f>
        <v>Iran</v>
      </c>
      <c r="B9" s="178">
        <f>'Grupo D'!C11</f>
        <v>0</v>
      </c>
      <c r="C9" s="178" t="str">
        <f>'Grupo D'!D11</f>
        <v>-</v>
      </c>
      <c r="D9" s="178">
        <f>'Grupo D'!E11</f>
        <v>0</v>
      </c>
      <c r="E9" s="179" t="str">
        <f>'Grupo D'!F11</f>
        <v>Angola</v>
      </c>
      <c r="F9" s="178">
        <f>COUNTBLANK('Grupo D'!C11:E11)</f>
        <v>2</v>
      </c>
      <c r="G9" s="180">
        <f t="shared" si="0"/>
        <v>0</v>
      </c>
      <c r="H9" s="180">
        <f t="shared" si="1"/>
        <v>0</v>
      </c>
      <c r="I9" s="180">
        <f t="shared" si="2"/>
        <v>0</v>
      </c>
      <c r="J9" s="180">
        <f t="shared" si="3"/>
        <v>0</v>
      </c>
      <c r="K9" s="180">
        <f t="shared" si="4"/>
        <v>0</v>
      </c>
      <c r="L9" s="180">
        <f t="shared" si="5"/>
        <v>0</v>
      </c>
      <c r="N9" s="180">
        <f t="shared" si="6"/>
        <v>0</v>
      </c>
      <c r="O9" s="180">
        <f t="shared" si="7"/>
        <v>0</v>
      </c>
      <c r="P9" s="180">
        <f t="shared" si="8"/>
        <v>0</v>
      </c>
      <c r="Q9" s="180">
        <f t="shared" si="9"/>
        <v>0</v>
      </c>
      <c r="R9" s="180">
        <f t="shared" si="10"/>
        <v>0</v>
      </c>
      <c r="S9" s="180">
        <f t="shared" si="11"/>
        <v>0</v>
      </c>
      <c r="U9" s="180">
        <f t="shared" si="12"/>
        <v>0</v>
      </c>
      <c r="V9" s="180">
        <f t="shared" si="13"/>
        <v>0</v>
      </c>
      <c r="W9" s="180">
        <f t="shared" si="14"/>
        <v>0</v>
      </c>
      <c r="X9" s="180">
        <f t="shared" si="15"/>
        <v>0</v>
      </c>
      <c r="Y9" s="180">
        <f t="shared" si="16"/>
        <v>0</v>
      </c>
      <c r="Z9" s="180">
        <f t="shared" si="17"/>
        <v>0</v>
      </c>
      <c r="AB9" s="180">
        <f t="shared" si="18"/>
        <v>0</v>
      </c>
      <c r="AC9" s="180">
        <f t="shared" si="19"/>
        <v>0</v>
      </c>
      <c r="AD9" s="180">
        <f t="shared" si="20"/>
        <v>0</v>
      </c>
      <c r="AE9" s="180">
        <f t="shared" si="21"/>
        <v>0</v>
      </c>
      <c r="AF9" s="180">
        <f t="shared" si="22"/>
        <v>0</v>
      </c>
      <c r="AG9" s="180">
        <f t="shared" si="23"/>
        <v>0</v>
      </c>
    </row>
    <row r="10" spans="1:36" x14ac:dyDescent="0.2">
      <c r="G10" s="180">
        <f t="shared" ref="G10:L10" si="24">SUM(G4:G9)</f>
        <v>0</v>
      </c>
      <c r="H10" s="180">
        <f t="shared" si="24"/>
        <v>0</v>
      </c>
      <c r="I10" s="180">
        <f t="shared" si="24"/>
        <v>0</v>
      </c>
      <c r="J10" s="180">
        <f t="shared" si="24"/>
        <v>0</v>
      </c>
      <c r="K10" s="180">
        <f t="shared" si="24"/>
        <v>0</v>
      </c>
      <c r="L10" s="180">
        <f t="shared" si="24"/>
        <v>0</v>
      </c>
      <c r="M10" s="180">
        <f>H10*3+I10</f>
        <v>0</v>
      </c>
      <c r="N10" s="180">
        <f t="shared" ref="N10:S10" si="25">SUM(N4:N9)</f>
        <v>0</v>
      </c>
      <c r="O10" s="180">
        <f t="shared" si="25"/>
        <v>0</v>
      </c>
      <c r="P10" s="180">
        <f t="shared" si="25"/>
        <v>0</v>
      </c>
      <c r="Q10" s="180">
        <f t="shared" si="25"/>
        <v>0</v>
      </c>
      <c r="R10" s="180">
        <f t="shared" si="25"/>
        <v>0</v>
      </c>
      <c r="S10" s="180">
        <f t="shared" si="25"/>
        <v>0</v>
      </c>
      <c r="T10" s="180">
        <f>O10*3+P10</f>
        <v>0</v>
      </c>
      <c r="U10" s="180">
        <f t="shared" ref="U10:Z10" si="26">SUM(U4:U9)</f>
        <v>0</v>
      </c>
      <c r="V10" s="180">
        <f t="shared" si="26"/>
        <v>0</v>
      </c>
      <c r="W10" s="180">
        <f t="shared" si="26"/>
        <v>0</v>
      </c>
      <c r="X10" s="180">
        <f t="shared" si="26"/>
        <v>0</v>
      </c>
      <c r="Y10" s="180">
        <f t="shared" si="26"/>
        <v>0</v>
      </c>
      <c r="Z10" s="180">
        <f t="shared" si="26"/>
        <v>0</v>
      </c>
      <c r="AA10" s="180">
        <f>V10*3+W10</f>
        <v>0</v>
      </c>
      <c r="AB10" s="180">
        <f t="shared" ref="AB10:AG10" si="27">SUM(AB4:AB9)</f>
        <v>0</v>
      </c>
      <c r="AC10" s="180">
        <f t="shared" si="27"/>
        <v>0</v>
      </c>
      <c r="AD10" s="180">
        <f t="shared" si="27"/>
        <v>0</v>
      </c>
      <c r="AE10" s="180">
        <f t="shared" si="27"/>
        <v>0</v>
      </c>
      <c r="AF10" s="180">
        <f t="shared" si="27"/>
        <v>0</v>
      </c>
      <c r="AG10" s="180">
        <f t="shared" si="27"/>
        <v>0</v>
      </c>
      <c r="AH10" s="180">
        <f>AC10*3+AD10</f>
        <v>0</v>
      </c>
    </row>
    <row r="14" spans="1:36" x14ac:dyDescent="0.2">
      <c r="F14" t="s">
        <v>154</v>
      </c>
    </row>
    <row r="15" spans="1:36" x14ac:dyDescent="0.2">
      <c r="G15" t="s">
        <v>148</v>
      </c>
      <c r="H15" t="s">
        <v>149</v>
      </c>
      <c r="I15" t="s">
        <v>150</v>
      </c>
      <c r="J15" t="s">
        <v>151</v>
      </c>
      <c r="K15" t="s">
        <v>152</v>
      </c>
      <c r="L15" t="s">
        <v>153</v>
      </c>
      <c r="M15" t="s">
        <v>155</v>
      </c>
      <c r="O15" t="s">
        <v>156</v>
      </c>
      <c r="S15" t="s">
        <v>157</v>
      </c>
      <c r="W15" t="s">
        <v>158</v>
      </c>
      <c r="AA15" t="s">
        <v>159</v>
      </c>
      <c r="AE15" t="s">
        <v>160</v>
      </c>
      <c r="AI15" t="s">
        <v>161</v>
      </c>
    </row>
    <row r="16" spans="1:36" x14ac:dyDescent="0.2">
      <c r="F16" t="str">
        <f>G2</f>
        <v>Mexico</v>
      </c>
      <c r="G16" s="180">
        <f t="shared" ref="G16:M16" si="28">G10</f>
        <v>0</v>
      </c>
      <c r="H16" s="180">
        <f t="shared" si="28"/>
        <v>0</v>
      </c>
      <c r="I16" s="180">
        <f t="shared" si="28"/>
        <v>0</v>
      </c>
      <c r="J16" s="180">
        <f t="shared" si="28"/>
        <v>0</v>
      </c>
      <c r="K16" s="180">
        <f t="shared" si="28"/>
        <v>0</v>
      </c>
      <c r="L16" s="180">
        <f t="shared" si="28"/>
        <v>0</v>
      </c>
      <c r="M16" s="180">
        <f t="shared" si="28"/>
        <v>0</v>
      </c>
      <c r="O16" t="str">
        <f>IF($M16&gt;=$M17,$F16,$F17)</f>
        <v>Mexico</v>
      </c>
      <c r="P16" s="180">
        <f>VLOOKUP(O16,$F$16:$M$25,8,FALSE)</f>
        <v>0</v>
      </c>
      <c r="S16" t="str">
        <f>IF($P16&gt;=$P18,$O16,$O18)</f>
        <v>Mexico</v>
      </c>
      <c r="T16" s="180">
        <f>VLOOKUP(S16,$O$16:$P$25,2,FALSE)</f>
        <v>0</v>
      </c>
      <c r="W16" t="str">
        <f>IF($T16&gt;=$T19,$S16,$S19)</f>
        <v>Mexico</v>
      </c>
      <c r="X16" s="180">
        <f>VLOOKUP(W16,$S$16:$T$25,2,FALSE)</f>
        <v>0</v>
      </c>
      <c r="AA16" t="str">
        <f>W16</f>
        <v>Mexico</v>
      </c>
      <c r="AB16" s="180">
        <f>VLOOKUP(AA16,W16:X25,2,FALSE)</f>
        <v>0</v>
      </c>
      <c r="AE16" t="str">
        <f>AA16</f>
        <v>Mexico</v>
      </c>
      <c r="AF16" s="180">
        <f>VLOOKUP(AE16,AA16:AB25,2,FALSE)</f>
        <v>0</v>
      </c>
      <c r="AI16" t="str">
        <f>AE16</f>
        <v>Mexico</v>
      </c>
      <c r="AJ16" s="180">
        <f>VLOOKUP(AI16,AE16:AF25,2,FALSE)</f>
        <v>0</v>
      </c>
    </row>
    <row r="17" spans="6:37" x14ac:dyDescent="0.2">
      <c r="F17" t="str">
        <f>N2</f>
        <v>Iran</v>
      </c>
      <c r="G17" s="180">
        <f t="shared" ref="G17:M17" si="29">N10</f>
        <v>0</v>
      </c>
      <c r="H17" s="180">
        <f t="shared" si="29"/>
        <v>0</v>
      </c>
      <c r="I17" s="180">
        <f t="shared" si="29"/>
        <v>0</v>
      </c>
      <c r="J17" s="180">
        <f t="shared" si="29"/>
        <v>0</v>
      </c>
      <c r="K17" s="180">
        <f t="shared" si="29"/>
        <v>0</v>
      </c>
      <c r="L17" s="180">
        <f t="shared" si="29"/>
        <v>0</v>
      </c>
      <c r="M17" s="180">
        <f t="shared" si="29"/>
        <v>0</v>
      </c>
      <c r="O17" t="str">
        <f>IF($M17&lt;=$M16,$F17,$F16)</f>
        <v>Iran</v>
      </c>
      <c r="P17" s="180">
        <f>VLOOKUP(O17,$F$16:$M$25,8,FALSE)</f>
        <v>0</v>
      </c>
      <c r="S17" t="str">
        <f>O17</f>
        <v>Iran</v>
      </c>
      <c r="T17" s="180">
        <f>VLOOKUP(S17,$O$16:$P$25,2,FALSE)</f>
        <v>0</v>
      </c>
      <c r="W17" t="str">
        <f>S17</f>
        <v>Iran</v>
      </c>
      <c r="X17" s="180">
        <f>VLOOKUP(W17,$S$16:$T$25,2,FALSE)</f>
        <v>0</v>
      </c>
      <c r="AA17" t="str">
        <f>IF(X17&gt;=X18,W17,W18)</f>
        <v>Iran</v>
      </c>
      <c r="AB17" s="180">
        <f>VLOOKUP(AA17,W16:X25,2,FALSE)</f>
        <v>0</v>
      </c>
      <c r="AE17" t="str">
        <f>IF(AB17&gt;=AB19,AA17,AA19)</f>
        <v>Iran</v>
      </c>
      <c r="AF17" s="180">
        <f>VLOOKUP(AE17,AA16:AB25,2,FALSE)</f>
        <v>0</v>
      </c>
      <c r="AI17" t="str">
        <f>AE17</f>
        <v>Iran</v>
      </c>
      <c r="AJ17" s="180">
        <f>VLOOKUP(AI17,AE16:AF25,2,FALSE)</f>
        <v>0</v>
      </c>
    </row>
    <row r="18" spans="6:37" x14ac:dyDescent="0.2">
      <c r="F18" t="str">
        <f>U2</f>
        <v>Angola</v>
      </c>
      <c r="G18" s="180">
        <f t="shared" ref="G18:M18" si="30">U10</f>
        <v>0</v>
      </c>
      <c r="H18" s="180">
        <f t="shared" si="30"/>
        <v>0</v>
      </c>
      <c r="I18" s="180">
        <f t="shared" si="30"/>
        <v>0</v>
      </c>
      <c r="J18" s="180">
        <f t="shared" si="30"/>
        <v>0</v>
      </c>
      <c r="K18" s="180">
        <f t="shared" si="30"/>
        <v>0</v>
      </c>
      <c r="L18" s="180">
        <f t="shared" si="30"/>
        <v>0</v>
      </c>
      <c r="M18" s="180">
        <f t="shared" si="30"/>
        <v>0</v>
      </c>
      <c r="O18" t="str">
        <f>F18</f>
        <v>Angola</v>
      </c>
      <c r="P18" s="180">
        <f>VLOOKUP(O18,$F$16:$M$25,8,FALSE)</f>
        <v>0</v>
      </c>
      <c r="S18" t="str">
        <f>IF($P18&lt;=$P16,$O18,$O16)</f>
        <v>Angola</v>
      </c>
      <c r="T18" s="180">
        <f>VLOOKUP(S18,$O$16:$P$25,2,FALSE)</f>
        <v>0</v>
      </c>
      <c r="W18" t="str">
        <f>S18</f>
        <v>Angola</v>
      </c>
      <c r="X18" s="180">
        <f>VLOOKUP(W18,$S$16:$T$25,2,FALSE)</f>
        <v>0</v>
      </c>
      <c r="AA18" t="str">
        <f>IF(X18&lt;=X17,W18,W17)</f>
        <v>Angola</v>
      </c>
      <c r="AB18" s="180">
        <f>VLOOKUP(AA18,W16:X25,2,FALSE)</f>
        <v>0</v>
      </c>
      <c r="AE18" t="str">
        <f>AA18</f>
        <v>Angola</v>
      </c>
      <c r="AF18" s="180">
        <f>VLOOKUP(AE18,AA16:AB25,2,FALSE)</f>
        <v>0</v>
      </c>
      <c r="AI18" t="str">
        <f>IF(AF18&gt;=AF19,AE18,AE19)</f>
        <v>Angola</v>
      </c>
      <c r="AJ18" s="180">
        <f>VLOOKUP(AI18,AE16:AF25,2,FALSE)</f>
        <v>0</v>
      </c>
    </row>
    <row r="19" spans="6:37" x14ac:dyDescent="0.2">
      <c r="F19" t="str">
        <f>AB2</f>
        <v>Portugal</v>
      </c>
      <c r="G19" s="180">
        <f t="shared" ref="G19:M19" si="31">AB10</f>
        <v>0</v>
      </c>
      <c r="H19" s="180">
        <f t="shared" si="31"/>
        <v>0</v>
      </c>
      <c r="I19" s="180">
        <f t="shared" si="31"/>
        <v>0</v>
      </c>
      <c r="J19" s="180">
        <f t="shared" si="31"/>
        <v>0</v>
      </c>
      <c r="K19" s="180">
        <f t="shared" si="31"/>
        <v>0</v>
      </c>
      <c r="L19" s="180">
        <f t="shared" si="31"/>
        <v>0</v>
      </c>
      <c r="M19" s="180">
        <f t="shared" si="31"/>
        <v>0</v>
      </c>
      <c r="O19" t="str">
        <f>F19</f>
        <v>Portugal</v>
      </c>
      <c r="P19" s="180">
        <f>VLOOKUP(O19,$F$16:$M$25,8,FALSE)</f>
        <v>0</v>
      </c>
      <c r="S19" t="str">
        <f>O19</f>
        <v>Portugal</v>
      </c>
      <c r="T19" s="180">
        <f>VLOOKUP(S19,$O$16:$P$25,2,FALSE)</f>
        <v>0</v>
      </c>
      <c r="W19" t="str">
        <f>IF($T19&lt;=$T16,$S19,$S16)</f>
        <v>Portugal</v>
      </c>
      <c r="X19" s="180">
        <f>VLOOKUP(W19,$S$16:$T$25,2,FALSE)</f>
        <v>0</v>
      </c>
      <c r="AA19" t="str">
        <f>W19</f>
        <v>Portugal</v>
      </c>
      <c r="AB19" s="180">
        <f>VLOOKUP(AA19,W16:X25,2,FALSE)</f>
        <v>0</v>
      </c>
      <c r="AE19" t="str">
        <f>IF(AB19&lt;=AB17,AA19,AA17)</f>
        <v>Portugal</v>
      </c>
      <c r="AF19" s="180">
        <f>VLOOKUP(AE19,AA16:AB25,2,FALSE)</f>
        <v>0</v>
      </c>
      <c r="AI19" t="str">
        <f>IF(AF19&lt;=AF18,AE19,AE18)</f>
        <v>Portugal</v>
      </c>
      <c r="AJ19" s="180">
        <f>VLOOKUP(AI19,AE16:AF25,2,FALSE)</f>
        <v>0</v>
      </c>
    </row>
    <row r="28" spans="6:37" x14ac:dyDescent="0.2">
      <c r="F28" t="str">
        <f>AI16</f>
        <v>Mexico</v>
      </c>
      <c r="J28" s="180">
        <f>AJ16</f>
        <v>0</v>
      </c>
      <c r="K28" s="180">
        <f>VLOOKUP(AI16,$F$16:$M$25,6,FALSE)</f>
        <v>0</v>
      </c>
      <c r="L28" s="180">
        <f>VLOOKUP(AI16,$F$16:$M$25,7,FALSE)</f>
        <v>0</v>
      </c>
      <c r="M28" s="180">
        <f>K28-L28</f>
        <v>0</v>
      </c>
      <c r="O28" t="str">
        <f>IF(AND($J28=$J29,$M29&gt;$M28),$F29,$F28)</f>
        <v>Mexico</v>
      </c>
      <c r="P28" s="180">
        <f>VLOOKUP(O28,$F$28:$M$37,5,FALSE)</f>
        <v>0</v>
      </c>
      <c r="Q28" s="180">
        <f>VLOOKUP(O28,$F$28:$M$37,8,FALSE)</f>
        <v>0</v>
      </c>
      <c r="S28" t="str">
        <f>IF(AND(P28=P30,Q30&gt;Q28),O30,O28)</f>
        <v>Mexico</v>
      </c>
      <c r="T28" s="180">
        <f>VLOOKUP(S28,$O$28:$Q$37,2,FALSE)</f>
        <v>0</v>
      </c>
      <c r="U28" s="180">
        <f>VLOOKUP(S28,$O$28:$Q$37,3,FALSE)</f>
        <v>0</v>
      </c>
      <c r="W28" t="str">
        <f>IF(AND(T28=T31,U31&gt;U28),S31,S28)</f>
        <v>Mexico</v>
      </c>
      <c r="X28" s="180">
        <f>VLOOKUP(W28,$S$28:$U$37,2,FALSE)</f>
        <v>0</v>
      </c>
      <c r="Y28" s="180">
        <f>VLOOKUP(W28,$S$28:$U$37,3,FALSE)</f>
        <v>0</v>
      </c>
      <c r="AA28" t="str">
        <f>W28</f>
        <v>Mexico</v>
      </c>
      <c r="AB28" s="180">
        <f>VLOOKUP(AA28,W28:Y37,2,FALSE)</f>
        <v>0</v>
      </c>
      <c r="AC28" s="180">
        <f>VLOOKUP(AA28,W28:Y37,3,FALSE)</f>
        <v>0</v>
      </c>
      <c r="AE28" t="str">
        <f>AA28</f>
        <v>Mexico</v>
      </c>
      <c r="AF28" s="180">
        <f>VLOOKUP(AE28,AA28:AC37,2,FALSE)</f>
        <v>0</v>
      </c>
      <c r="AG28" s="180">
        <f>VLOOKUP(AE28,AA28:AC37,3,FALSE)</f>
        <v>0</v>
      </c>
      <c r="AI28" t="str">
        <f>AE28</f>
        <v>Mexico</v>
      </c>
      <c r="AJ28" s="180">
        <f>VLOOKUP(AI28,AE28:AG37,2,FALSE)</f>
        <v>0</v>
      </c>
      <c r="AK28" s="180">
        <f>VLOOKUP(AI28,AE28:AG37,3,FALSE)</f>
        <v>0</v>
      </c>
    </row>
    <row r="29" spans="6:37" x14ac:dyDescent="0.2">
      <c r="F29" t="str">
        <f>AI17</f>
        <v>Iran</v>
      </c>
      <c r="J29" s="180">
        <f>AJ17</f>
        <v>0</v>
      </c>
      <c r="K29" s="180">
        <f>VLOOKUP(AI17,$F$16:$M$25,6,FALSE)</f>
        <v>0</v>
      </c>
      <c r="L29" s="180">
        <f>VLOOKUP(AI17,$F$16:$M$25,7,FALSE)</f>
        <v>0</v>
      </c>
      <c r="M29" s="180">
        <f>K29-L29</f>
        <v>0</v>
      </c>
      <c r="O29" t="str">
        <f>IF(AND($J28=$J29,$M29&gt;$M28),$F28,$F29)</f>
        <v>Iran</v>
      </c>
      <c r="P29" s="180">
        <f>VLOOKUP(O29,$F$28:$M$37,5,FALSE)</f>
        <v>0</v>
      </c>
      <c r="Q29" s="180">
        <f>VLOOKUP(O29,$F$28:$M$37,8,FALSE)</f>
        <v>0</v>
      </c>
      <c r="S29" t="str">
        <f>O29</f>
        <v>Iran</v>
      </c>
      <c r="T29" s="180">
        <f>VLOOKUP(S29,$O$28:$Q$37,2,FALSE)</f>
        <v>0</v>
      </c>
      <c r="U29" s="180">
        <f>VLOOKUP(S29,$O$28:$Q$37,3,FALSE)</f>
        <v>0</v>
      </c>
      <c r="W29" t="str">
        <f>S29</f>
        <v>Iran</v>
      </c>
      <c r="X29" s="180">
        <f>VLOOKUP(W29,$S$28:$U$37,2,FALSE)</f>
        <v>0</v>
      </c>
      <c r="Y29" s="180">
        <f>VLOOKUP(W29,$S$28:$U$37,3,FALSE)</f>
        <v>0</v>
      </c>
      <c r="AA29" t="str">
        <f>IF(AND(X29=X30,Y30&gt;Y29),W30,W29)</f>
        <v>Iran</v>
      </c>
      <c r="AB29" s="180">
        <f>VLOOKUP(AA29,W28:Y37,2,FALSE)</f>
        <v>0</v>
      </c>
      <c r="AC29" s="180">
        <f>VLOOKUP(AA29,W28:Y37,3,FALSE)</f>
        <v>0</v>
      </c>
      <c r="AE29" t="str">
        <f>IF(AND(AB29=AB31,AC31&gt;AC29),AA31,AA29)</f>
        <v>Iran</v>
      </c>
      <c r="AF29" s="180">
        <f>VLOOKUP(AE29,AA28:AC37,2,FALSE)</f>
        <v>0</v>
      </c>
      <c r="AG29" s="180">
        <f>VLOOKUP(AE29,AA28:AC37,3,FALSE)</f>
        <v>0</v>
      </c>
      <c r="AI29" t="str">
        <f>AE29</f>
        <v>Iran</v>
      </c>
      <c r="AJ29" s="180">
        <f>VLOOKUP(AI29,AE28:AG37,2,FALSE)</f>
        <v>0</v>
      </c>
      <c r="AK29" s="180">
        <f>VLOOKUP(AI29,AE28:AG37,3,FALSE)</f>
        <v>0</v>
      </c>
    </row>
    <row r="30" spans="6:37" x14ac:dyDescent="0.2">
      <c r="F30" t="str">
        <f>AI18</f>
        <v>Angola</v>
      </c>
      <c r="J30" s="180">
        <f>AJ18</f>
        <v>0</v>
      </c>
      <c r="K30" s="180">
        <f>VLOOKUP(AI18,$F$16:$M$25,6,FALSE)</f>
        <v>0</v>
      </c>
      <c r="L30" s="180">
        <f>VLOOKUP(AI18,$F$16:$M$25,7,FALSE)</f>
        <v>0</v>
      </c>
      <c r="M30" s="180">
        <f>K30-L30</f>
        <v>0</v>
      </c>
      <c r="O30" t="str">
        <f>F30</f>
        <v>Angola</v>
      </c>
      <c r="P30" s="180">
        <f>VLOOKUP(O30,$F$28:$M$37,5,FALSE)</f>
        <v>0</v>
      </c>
      <c r="Q30" s="180">
        <f>VLOOKUP(O30,$F$28:$M$37,8,FALSE)</f>
        <v>0</v>
      </c>
      <c r="S30" t="str">
        <f>IF(AND($P28=P30,Q30&gt;Q28),O28,O30)</f>
        <v>Angola</v>
      </c>
      <c r="T30" s="180">
        <f>VLOOKUP(S30,$O$28:$Q$37,2,FALSE)</f>
        <v>0</v>
      </c>
      <c r="U30" s="180">
        <f>VLOOKUP(S30,$O$28:$Q$37,3,FALSE)</f>
        <v>0</v>
      </c>
      <c r="W30" t="str">
        <f>S30</f>
        <v>Angola</v>
      </c>
      <c r="X30" s="180">
        <f>VLOOKUP(W30,$S$28:$U$37,2,FALSE)</f>
        <v>0</v>
      </c>
      <c r="Y30" s="180">
        <f>VLOOKUP(W30,$S$28:$U$37,3,FALSE)</f>
        <v>0</v>
      </c>
      <c r="AA30" t="str">
        <f>IF(AND(X29=X30,Y30&gt;Y29),W29,W30)</f>
        <v>Angola</v>
      </c>
      <c r="AB30" s="180">
        <f>VLOOKUP(AA30,W28:Y37,2,FALSE)</f>
        <v>0</v>
      </c>
      <c r="AC30" s="180">
        <f>VLOOKUP(AA30,W28:Y37,3,FALSE)</f>
        <v>0</v>
      </c>
      <c r="AE30" t="str">
        <f>AA30</f>
        <v>Angola</v>
      </c>
      <c r="AF30" s="180">
        <f>VLOOKUP(AE30,AA28:AC37,2,FALSE)</f>
        <v>0</v>
      </c>
      <c r="AG30" s="180">
        <f>VLOOKUP(AE30,AA28:AC37,3,FALSE)</f>
        <v>0</v>
      </c>
      <c r="AI30" t="str">
        <f>IF(AND(AF30=AF31,AG31&gt;AG30),AE31,AE30)</f>
        <v>Angola</v>
      </c>
      <c r="AJ30" s="180">
        <f>VLOOKUP(AI30,AE28:AG37,2,FALSE)</f>
        <v>0</v>
      </c>
      <c r="AK30" s="180">
        <f>VLOOKUP(AI30,AE28:AG37,3,FALSE)</f>
        <v>0</v>
      </c>
    </row>
    <row r="31" spans="6:37" x14ac:dyDescent="0.2">
      <c r="F31" t="str">
        <f>AI19</f>
        <v>Portugal</v>
      </c>
      <c r="J31" s="180">
        <f>AJ19</f>
        <v>0</v>
      </c>
      <c r="K31" s="180">
        <f>VLOOKUP(AI19,$F$16:$M$25,6,FALSE)</f>
        <v>0</v>
      </c>
      <c r="L31" s="180">
        <f>VLOOKUP(AI19,$F$16:$M$25,7,FALSE)</f>
        <v>0</v>
      </c>
      <c r="M31" s="180">
        <f>K31-L31</f>
        <v>0</v>
      </c>
      <c r="O31" t="str">
        <f>F31</f>
        <v>Portugal</v>
      </c>
      <c r="P31" s="180">
        <f>VLOOKUP(O31,$F$28:$M$37,5,FALSE)</f>
        <v>0</v>
      </c>
      <c r="Q31" s="180">
        <f>VLOOKUP(O31,$F$28:$M$37,8,FALSE)</f>
        <v>0</v>
      </c>
      <c r="S31" t="str">
        <f>O31</f>
        <v>Portugal</v>
      </c>
      <c r="T31" s="180">
        <f>VLOOKUP(S31,$O$28:$Q$37,2,FALSE)</f>
        <v>0</v>
      </c>
      <c r="U31" s="180">
        <f>VLOOKUP(S31,$O$28:$Q$37,3,FALSE)</f>
        <v>0</v>
      </c>
      <c r="W31" t="str">
        <f>IF(AND(T28=T31,U31&gt;U28),S28,S31)</f>
        <v>Portugal</v>
      </c>
      <c r="X31" s="180">
        <f>VLOOKUP(W31,$S$28:$U$37,2,FALSE)</f>
        <v>0</v>
      </c>
      <c r="Y31" s="180">
        <f>VLOOKUP(W31,$S$28:$U$37,3,FALSE)</f>
        <v>0</v>
      </c>
      <c r="AA31" t="str">
        <f>W31</f>
        <v>Portugal</v>
      </c>
      <c r="AB31" s="180">
        <f>VLOOKUP(AA31,W28:Y37,2,FALSE)</f>
        <v>0</v>
      </c>
      <c r="AC31" s="180">
        <f>VLOOKUP(AA31,W28:Y37,3,FALSE)</f>
        <v>0</v>
      </c>
      <c r="AE31" t="str">
        <f>IF(AND(AB29=AB31,AC31&gt;AC29),AA29,AA31)</f>
        <v>Portugal</v>
      </c>
      <c r="AF31" s="180">
        <f>VLOOKUP(AE31,AA28:AC37,2,FALSE)</f>
        <v>0</v>
      </c>
      <c r="AG31" s="180">
        <f>VLOOKUP(AE31,AA28:AC37,3,FALSE)</f>
        <v>0</v>
      </c>
      <c r="AI31" t="str">
        <f>IF(AND(AF30=AF31,AG31&gt;AG30),AE30,AE31)</f>
        <v>Portugal</v>
      </c>
      <c r="AJ31" s="180">
        <f>VLOOKUP(AI31,AE28:AG37,2,FALSE)</f>
        <v>0</v>
      </c>
      <c r="AK31" s="180">
        <f>VLOOKUP(AI31,AE28:AG37,3,FALSE)</f>
        <v>0</v>
      </c>
    </row>
    <row r="40" spans="6:38" x14ac:dyDescent="0.2">
      <c r="F40" t="str">
        <f>AI28</f>
        <v>Mexico</v>
      </c>
      <c r="J40" s="180">
        <f>VLOOKUP(F40,$F$16:$M$25,8,FALSE)</f>
        <v>0</v>
      </c>
      <c r="K40" s="180">
        <f>VLOOKUP(F40,$F$16:$M$25,6,FALSE)</f>
        <v>0</v>
      </c>
      <c r="L40" s="180">
        <f>VLOOKUP(F40,$F$16:$M$25,7,FALSE)</f>
        <v>0</v>
      </c>
      <c r="M40" s="180">
        <f>K40-L40</f>
        <v>0</v>
      </c>
      <c r="O40" t="str">
        <f>IF(AND(J40=J41,M40=M41,K41&gt;K40),F41,F40)</f>
        <v>Mexico</v>
      </c>
      <c r="P40" s="180">
        <f>VLOOKUP(O40,$F$40:$M$49,5,FALSE)</f>
        <v>0</v>
      </c>
      <c r="Q40" s="180">
        <f>VLOOKUP(O40,$F$40:$M$49,8,FALSE)</f>
        <v>0</v>
      </c>
      <c r="R40" s="180">
        <f>VLOOKUP(O40,$F$40:$M$49,6,FALSE)</f>
        <v>0</v>
      </c>
      <c r="S40" t="str">
        <f>IF(AND(P40=P42,Q40=Q42,R42&gt;R40),O42,O40)</f>
        <v>Mexico</v>
      </c>
      <c r="T40" s="180">
        <f>VLOOKUP(S40,$O$40:$R$49,2,FALSE)</f>
        <v>0</v>
      </c>
      <c r="U40" s="180">
        <f>VLOOKUP(S40,$O$40:$R$49,3,FALSE)</f>
        <v>0</v>
      </c>
      <c r="V40" s="180">
        <f>VLOOKUP(S40,$O$40:$R$49,4,FALSE)</f>
        <v>0</v>
      </c>
      <c r="W40" t="str">
        <f>IF(AND(T40=T43,U40=U43,V43&gt;V40),S43,S40)</f>
        <v>Mexico</v>
      </c>
      <c r="X40" s="180">
        <f>VLOOKUP(W40,$S$40:$V$49,2,FALSE)</f>
        <v>0</v>
      </c>
      <c r="Y40" s="180">
        <f>VLOOKUP(W40,$S$40:$V$49,3,FALSE)</f>
        <v>0</v>
      </c>
      <c r="Z40" s="180">
        <f>VLOOKUP(W40,$S$40:$V$49,4,FALSE)</f>
        <v>0</v>
      </c>
      <c r="AA40" t="str">
        <f>W40</f>
        <v>Mexico</v>
      </c>
      <c r="AB40" s="180">
        <f>VLOOKUP(AA40,W40:Z49,2,FALSE)</f>
        <v>0</v>
      </c>
      <c r="AC40" s="180">
        <f>VLOOKUP(AA40,W40:Z49,3,FALSE)</f>
        <v>0</v>
      </c>
      <c r="AD40" s="180">
        <f>VLOOKUP(AA40,W40:Z49,4,FALSE)</f>
        <v>0</v>
      </c>
      <c r="AE40" t="str">
        <f>AA40</f>
        <v>Mexico</v>
      </c>
      <c r="AF40" s="180">
        <f>VLOOKUP(AE40,AA40:AD49,2,FALSE)</f>
        <v>0</v>
      </c>
      <c r="AG40" s="180">
        <f>VLOOKUP(AE40,AA40:AD49,3,FALSE)</f>
        <v>0</v>
      </c>
      <c r="AH40" s="180">
        <f>VLOOKUP(AE40,AA40:AD49,4,FALSE)</f>
        <v>0</v>
      </c>
      <c r="AI40" t="str">
        <f>AE40</f>
        <v>Mexico</v>
      </c>
      <c r="AJ40" s="180">
        <f>VLOOKUP(AI40,AE40:AH49,2,FALSE)</f>
        <v>0</v>
      </c>
      <c r="AK40" s="180">
        <f>VLOOKUP(AI40,AE40:AH49,3,FALSE)</f>
        <v>0</v>
      </c>
      <c r="AL40" s="180">
        <f>VLOOKUP(AI40,AE40:AH49,4,FALSE)</f>
        <v>0</v>
      </c>
    </row>
    <row r="41" spans="6:38" x14ac:dyDescent="0.2">
      <c r="F41" t="str">
        <f>AI29</f>
        <v>Iran</v>
      </c>
      <c r="J41" s="180">
        <f>VLOOKUP(F41,$F$16:$M$25,8,FALSE)</f>
        <v>0</v>
      </c>
      <c r="K41" s="180">
        <f>VLOOKUP(F41,$F$16:$M$25,6,FALSE)</f>
        <v>0</v>
      </c>
      <c r="L41" s="180">
        <f>VLOOKUP(F41,$F$16:$M$25,7,FALSE)</f>
        <v>0</v>
      </c>
      <c r="M41" s="180">
        <f>K41-L41</f>
        <v>0</v>
      </c>
      <c r="O41" t="str">
        <f>IF(AND(J40=J41,M40=M41,K41&gt;K40),F40,F41)</f>
        <v>Iran</v>
      </c>
      <c r="P41" s="180">
        <f>VLOOKUP(O41,$F$40:$M$49,5,FALSE)</f>
        <v>0</v>
      </c>
      <c r="Q41" s="180">
        <f>VLOOKUP(O41,$F$40:$M$49,8,FALSE)</f>
        <v>0</v>
      </c>
      <c r="R41" s="180">
        <f>VLOOKUP(O41,$F$40:$M$49,6,FALSE)</f>
        <v>0</v>
      </c>
      <c r="S41" t="str">
        <f>O41</f>
        <v>Iran</v>
      </c>
      <c r="T41" s="180">
        <f>VLOOKUP(S41,$O$40:$R$49,2,FALSE)</f>
        <v>0</v>
      </c>
      <c r="U41" s="180">
        <f>VLOOKUP(S41,$O$40:$R$49,3,FALSE)</f>
        <v>0</v>
      </c>
      <c r="V41" s="180">
        <f>VLOOKUP(S41,$O$40:$R$49,4,FALSE)</f>
        <v>0</v>
      </c>
      <c r="W41" t="str">
        <f>S41</f>
        <v>Iran</v>
      </c>
      <c r="X41" s="180">
        <f>VLOOKUP(W41,$S$40:$V$49,2,FALSE)</f>
        <v>0</v>
      </c>
      <c r="Y41" s="180">
        <f>VLOOKUP(W41,$S$40:$V$49,3,FALSE)</f>
        <v>0</v>
      </c>
      <c r="Z41" s="180">
        <f>VLOOKUP(W41,$S$40:$V$49,4,FALSE)</f>
        <v>0</v>
      </c>
      <c r="AA41" t="str">
        <f>IF(AND(X41=X42,Y41=Y42,Z42&gt;Z41),W42,W41)</f>
        <v>Iran</v>
      </c>
      <c r="AB41" s="180">
        <f>VLOOKUP(AA41,W40:Z49,2,FALSE)</f>
        <v>0</v>
      </c>
      <c r="AC41" s="180">
        <f>VLOOKUP(AA41,W40:Z49,3,FALSE)</f>
        <v>0</v>
      </c>
      <c r="AD41" s="180">
        <f>VLOOKUP(AA41,W40:Z49,4,FALSE)</f>
        <v>0</v>
      </c>
      <c r="AE41" t="str">
        <f>IF(AND(AB41=AB43,AC41=AC43,AD43&gt;AD41),AA43,AA41)</f>
        <v>Iran</v>
      </c>
      <c r="AF41" s="180">
        <f>VLOOKUP(AE41,AA40:AD49,2,FALSE)</f>
        <v>0</v>
      </c>
      <c r="AG41" s="180">
        <f>VLOOKUP(AE41,AA40:AD49,3,FALSE)</f>
        <v>0</v>
      </c>
      <c r="AH41" s="180">
        <f>VLOOKUP(AE41,AA40:AD49,4,FALSE)</f>
        <v>0</v>
      </c>
      <c r="AI41" t="str">
        <f>AE41</f>
        <v>Iran</v>
      </c>
      <c r="AJ41" s="180">
        <f>VLOOKUP(AI41,AE40:AH49,2,FALSE)</f>
        <v>0</v>
      </c>
      <c r="AK41" s="180">
        <f>VLOOKUP(AI41,AE40:AH49,3,FALSE)</f>
        <v>0</v>
      </c>
      <c r="AL41" s="180">
        <f>VLOOKUP(AI41,AE40:AH49,4,FALSE)</f>
        <v>0</v>
      </c>
    </row>
    <row r="42" spans="6:38" x14ac:dyDescent="0.2">
      <c r="F42" t="str">
        <f>AI30</f>
        <v>Angola</v>
      </c>
      <c r="J42" s="180">
        <f>VLOOKUP(F42,$F$16:$M$25,8,FALSE)</f>
        <v>0</v>
      </c>
      <c r="K42" s="180">
        <f>VLOOKUP(F42,$F$16:$M$25,6,FALSE)</f>
        <v>0</v>
      </c>
      <c r="L42" s="180">
        <f>VLOOKUP(F42,$F$16:$M$25,7,FALSE)</f>
        <v>0</v>
      </c>
      <c r="M42" s="180">
        <f>K42-L42</f>
        <v>0</v>
      </c>
      <c r="O42" t="str">
        <f>F42</f>
        <v>Angola</v>
      </c>
      <c r="P42" s="180">
        <f>VLOOKUP(O42,$F$40:$M$49,5,FALSE)</f>
        <v>0</v>
      </c>
      <c r="Q42" s="180">
        <f>VLOOKUP(O42,$F$40:$M$49,8,FALSE)</f>
        <v>0</v>
      </c>
      <c r="R42" s="180">
        <f>VLOOKUP(O42,$F$40:$M$49,6,FALSE)</f>
        <v>0</v>
      </c>
      <c r="S42" t="str">
        <f>IF(AND(P40=P42,Q40=Q42,R42&gt;R40),O40,O42)</f>
        <v>Angola</v>
      </c>
      <c r="T42" s="180">
        <f>VLOOKUP(S42,$O$40:$R$49,2,FALSE)</f>
        <v>0</v>
      </c>
      <c r="U42" s="180">
        <f>VLOOKUP(S42,$O$40:$R$49,3,FALSE)</f>
        <v>0</v>
      </c>
      <c r="V42" s="180">
        <f>VLOOKUP(S42,$O$40:$R$49,4,FALSE)</f>
        <v>0</v>
      </c>
      <c r="W42" t="str">
        <f>S42</f>
        <v>Angola</v>
      </c>
      <c r="X42" s="180">
        <f>VLOOKUP(W42,$S$40:$V$49,2,FALSE)</f>
        <v>0</v>
      </c>
      <c r="Y42" s="180">
        <f>VLOOKUP(W42,$S$40:$V$49,3,FALSE)</f>
        <v>0</v>
      </c>
      <c r="Z42" s="180">
        <f>VLOOKUP(W42,$S$40:$V$49,4,FALSE)</f>
        <v>0</v>
      </c>
      <c r="AA42" t="str">
        <f>IF(AND(X41=X42,Y41=Y42,Z42&gt;Z41),W41,W42)</f>
        <v>Angola</v>
      </c>
      <c r="AB42" s="180">
        <f>VLOOKUP(AA42,W40:Z49,2,FALSE)</f>
        <v>0</v>
      </c>
      <c r="AC42" s="180">
        <f>VLOOKUP(AA42,W40:Z49,3,FALSE)</f>
        <v>0</v>
      </c>
      <c r="AD42" s="180">
        <f>VLOOKUP(AA42,W40:Z49,4,FALSE)</f>
        <v>0</v>
      </c>
      <c r="AE42" t="str">
        <f>AA42</f>
        <v>Angola</v>
      </c>
      <c r="AF42" s="180">
        <f>VLOOKUP(AE42,AA40:AD49,2,FALSE)</f>
        <v>0</v>
      </c>
      <c r="AG42" s="180">
        <f>VLOOKUP(AE42,AA40:AD49,3,FALSE)</f>
        <v>0</v>
      </c>
      <c r="AH42" s="180">
        <f>VLOOKUP(AE42,AA40:AD49,4,FALSE)</f>
        <v>0</v>
      </c>
      <c r="AI42" t="str">
        <f>IF(AND(AF42=AF43,AG42=AG43,AH43&gt;AH42),AE43,AE42)</f>
        <v>Angola</v>
      </c>
      <c r="AJ42" s="180">
        <f>VLOOKUP(AI42,AE40:AH49,2,FALSE)</f>
        <v>0</v>
      </c>
      <c r="AK42" s="180">
        <f>VLOOKUP(AI42,AE40:AH49,3,FALSE)</f>
        <v>0</v>
      </c>
      <c r="AL42" s="180">
        <f>VLOOKUP(AI42,AE40:AH49,4,FALSE)</f>
        <v>0</v>
      </c>
    </row>
    <row r="43" spans="6:38" x14ac:dyDescent="0.2">
      <c r="F43" t="str">
        <f>AI31</f>
        <v>Portugal</v>
      </c>
      <c r="J43" s="180">
        <f>VLOOKUP(F43,$F$16:$M$25,8,FALSE)</f>
        <v>0</v>
      </c>
      <c r="K43" s="180">
        <f>VLOOKUP(F43,$F$16:$M$25,6,FALSE)</f>
        <v>0</v>
      </c>
      <c r="L43" s="180">
        <f>VLOOKUP(F43,$F$16:$M$25,7,FALSE)</f>
        <v>0</v>
      </c>
      <c r="M43" s="180">
        <f>K43-L43</f>
        <v>0</v>
      </c>
      <c r="O43" t="str">
        <f>F43</f>
        <v>Portugal</v>
      </c>
      <c r="P43" s="180">
        <f>VLOOKUP(O43,$F$40:$M$49,5,FALSE)</f>
        <v>0</v>
      </c>
      <c r="Q43" s="180">
        <f>VLOOKUP(O43,$F$40:$M$49,8,FALSE)</f>
        <v>0</v>
      </c>
      <c r="R43" s="180">
        <f>VLOOKUP(O43,$F$40:$M$49,6,FALSE)</f>
        <v>0</v>
      </c>
      <c r="S43" t="str">
        <f>O43</f>
        <v>Portugal</v>
      </c>
      <c r="T43" s="180">
        <f>VLOOKUP(S43,$O$40:$R$49,2,FALSE)</f>
        <v>0</v>
      </c>
      <c r="U43" s="180">
        <f>VLOOKUP(S43,$O$40:$R$49,3,FALSE)</f>
        <v>0</v>
      </c>
      <c r="V43" s="180">
        <f>VLOOKUP(S43,$O$40:$R$49,4,FALSE)</f>
        <v>0</v>
      </c>
      <c r="W43" t="str">
        <f>IF(AND(T40=T43,U40=U43,V43&gt;V40),S40,S43)</f>
        <v>Portugal</v>
      </c>
      <c r="X43" s="180">
        <f>VLOOKUP(W43,$S$40:$V$49,2,FALSE)</f>
        <v>0</v>
      </c>
      <c r="Y43" s="180">
        <f>VLOOKUP(W43,$S$40:$V$49,3,FALSE)</f>
        <v>0</v>
      </c>
      <c r="Z43" s="180">
        <f>VLOOKUP(W43,$S$40:$V$49,4,FALSE)</f>
        <v>0</v>
      </c>
      <c r="AA43" t="str">
        <f>W43</f>
        <v>Portugal</v>
      </c>
      <c r="AB43" s="180">
        <f>VLOOKUP(AA43,W40:Z49,2,FALSE)</f>
        <v>0</v>
      </c>
      <c r="AC43" s="180">
        <f>VLOOKUP(AA43,W40:Z49,3,FALSE)</f>
        <v>0</v>
      </c>
      <c r="AD43" s="180">
        <f>VLOOKUP(AA43,W40:Z49,4,FALSE)</f>
        <v>0</v>
      </c>
      <c r="AE43" t="str">
        <f>IF(AND(AB41=AB43,AC41=AC43,AD43&gt;AD41),AA41,AA43)</f>
        <v>Portugal</v>
      </c>
      <c r="AF43" s="180">
        <f>VLOOKUP(AE43,AA40:AD49,2,FALSE)</f>
        <v>0</v>
      </c>
      <c r="AG43" s="180">
        <f>VLOOKUP(AE43,AA40:AD49,3,FALSE)</f>
        <v>0</v>
      </c>
      <c r="AH43" s="180">
        <f>VLOOKUP(AE43,AA40:AD49,4,FALSE)</f>
        <v>0</v>
      </c>
      <c r="AI43" t="str">
        <f>IF(AND(AF42=AF43,AG42=AG43,AH43&gt;AH42),AE42,AE43)</f>
        <v>Portugal</v>
      </c>
      <c r="AJ43" s="180">
        <f>VLOOKUP(AI43,AE40:AH49,2,FALSE)</f>
        <v>0</v>
      </c>
      <c r="AK43" s="180">
        <f>VLOOKUP(AI43,AE40:AH49,3,FALSE)</f>
        <v>0</v>
      </c>
      <c r="AL43" s="180">
        <f>VLOOKUP(AI43,AE40:AH49,4,FALSE)</f>
        <v>0</v>
      </c>
    </row>
    <row r="51" spans="6:13" x14ac:dyDescent="0.2">
      <c r="F51" t="s">
        <v>162</v>
      </c>
    </row>
    <row r="52" spans="6:13" x14ac:dyDescent="0.2">
      <c r="F52" t="str">
        <f>AI40</f>
        <v>Mexico</v>
      </c>
      <c r="G52" s="180">
        <f>VLOOKUP(F52,$F$16:$M$25,2,FALSE)</f>
        <v>0</v>
      </c>
      <c r="H52" s="180">
        <f>VLOOKUP(F52,$F$16:$M$25,3,FALSE)</f>
        <v>0</v>
      </c>
      <c r="I52" s="180">
        <f>VLOOKUP(F52,$F$16:$M$25,4,FALSE)</f>
        <v>0</v>
      </c>
      <c r="J52" s="180">
        <f>VLOOKUP(F52,$F$16:$M$25,5,FALSE)</f>
        <v>0</v>
      </c>
      <c r="K52" s="180">
        <f>VLOOKUP(F52,$F$16:$M$25,6,FALSE)</f>
        <v>0</v>
      </c>
      <c r="L52" s="180">
        <f>VLOOKUP(F52,$F$16:$M$25,7,FALSE)</f>
        <v>0</v>
      </c>
      <c r="M52" s="180">
        <f>VLOOKUP(F52,$F$16:$M$25,8,FALSE)</f>
        <v>0</v>
      </c>
    </row>
    <row r="53" spans="6:13" x14ac:dyDescent="0.2">
      <c r="F53" t="str">
        <f>AI41</f>
        <v>Iran</v>
      </c>
      <c r="G53" s="180">
        <f>VLOOKUP(F53,$F$16:$M$25,2,FALSE)</f>
        <v>0</v>
      </c>
      <c r="H53" s="180">
        <f>VLOOKUP(F53,$F$16:$M$25,3,FALSE)</f>
        <v>0</v>
      </c>
      <c r="I53" s="180">
        <f>VLOOKUP(F53,$F$16:$M$25,4,FALSE)</f>
        <v>0</v>
      </c>
      <c r="J53" s="180">
        <f>VLOOKUP(F53,$F$16:$M$25,5,FALSE)</f>
        <v>0</v>
      </c>
      <c r="K53" s="180">
        <f>VLOOKUP(F53,$F$16:$M$25,6,FALSE)</f>
        <v>0</v>
      </c>
      <c r="L53" s="180">
        <f>VLOOKUP(F53,$F$16:$M$25,7,FALSE)</f>
        <v>0</v>
      </c>
      <c r="M53" s="180">
        <f>VLOOKUP(F53,$F$16:$M$25,8,FALSE)</f>
        <v>0</v>
      </c>
    </row>
    <row r="54" spans="6:13" x14ac:dyDescent="0.2">
      <c r="F54" t="str">
        <f>AI42</f>
        <v>Angola</v>
      </c>
      <c r="G54" s="180">
        <f>VLOOKUP(F54,$F$16:$M$25,2,FALSE)</f>
        <v>0</v>
      </c>
      <c r="H54" s="180">
        <f>VLOOKUP(F54,$F$16:$M$25,3,FALSE)</f>
        <v>0</v>
      </c>
      <c r="I54" s="180">
        <f>VLOOKUP(F54,$F$16:$M$25,4,FALSE)</f>
        <v>0</v>
      </c>
      <c r="J54" s="180">
        <f>VLOOKUP(F54,$F$16:$M$25,5,FALSE)</f>
        <v>0</v>
      </c>
      <c r="K54" s="180">
        <f>VLOOKUP(F54,$F$16:$M$25,6,FALSE)</f>
        <v>0</v>
      </c>
      <c r="L54" s="180">
        <f>VLOOKUP(F54,$F$16:$M$25,7,FALSE)</f>
        <v>0</v>
      </c>
      <c r="M54" s="180">
        <f>VLOOKUP(F54,$F$16:$M$25,8,FALSE)</f>
        <v>0</v>
      </c>
    </row>
    <row r="55" spans="6:13" x14ac:dyDescent="0.2">
      <c r="F55" t="str">
        <f>AI43</f>
        <v>Portugal</v>
      </c>
      <c r="G55" s="180">
        <f>VLOOKUP(F55,$F$16:$M$25,2,FALSE)</f>
        <v>0</v>
      </c>
      <c r="H55" s="180">
        <f>VLOOKUP(F55,$F$16:$M$25,3,FALSE)</f>
        <v>0</v>
      </c>
      <c r="I55" s="180">
        <f>VLOOKUP(F55,$F$16:$M$25,4,FALSE)</f>
        <v>0</v>
      </c>
      <c r="J55" s="180">
        <f>VLOOKUP(F55,$F$16:$M$25,5,FALSE)</f>
        <v>0</v>
      </c>
      <c r="K55" s="180">
        <f>VLOOKUP(F55,$F$16:$M$25,6,FALSE)</f>
        <v>0</v>
      </c>
      <c r="L55" s="180">
        <f>VLOOKUP(F55,$F$16:$M$25,7,FALSE)</f>
        <v>0</v>
      </c>
      <c r="M55" s="180">
        <f>VLOOKUP(F55,$F$16:$M$25,8,FALSE)</f>
        <v>0</v>
      </c>
    </row>
  </sheetData>
  <mergeCells count="1">
    <mergeCell ref="A2:E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showGridLines="0" showRowColHeaders="0" showOutlineSymbols="0" workbookViewId="0">
      <selection activeCell="C17" sqref="C17"/>
    </sheetView>
  </sheetViews>
  <sheetFormatPr baseColWidth="10" defaultRowHeight="12.75" x14ac:dyDescent="0.2"/>
  <cols>
    <col min="1" max="1" width="2.7109375" style="13" customWidth="1"/>
    <col min="2" max="2" width="14.28515625" style="13" customWidth="1"/>
    <col min="3" max="3" width="3.28515625" style="13" customWidth="1"/>
    <col min="4" max="4" width="1.7109375" style="13" customWidth="1"/>
    <col min="5" max="5" width="3.42578125" style="13" customWidth="1"/>
    <col min="6" max="6" width="14.28515625" style="13" customWidth="1"/>
    <col min="7" max="7" width="14.7109375" style="13" customWidth="1"/>
    <col min="8" max="12" width="3.7109375" style="13" customWidth="1"/>
    <col min="13" max="14" width="3.85546875" style="13" customWidth="1"/>
    <col min="15" max="15" width="4.7109375" style="13" customWidth="1"/>
    <col min="16" max="16" width="5.7109375" style="13" customWidth="1"/>
    <col min="17" max="18" width="7.7109375" style="13" customWidth="1"/>
    <col min="19" max="19" width="5.7109375" style="13" customWidth="1"/>
    <col min="20" max="20" width="7.7109375" style="13" customWidth="1"/>
    <col min="21" max="16384" width="11.42578125" style="13"/>
  </cols>
  <sheetData>
    <row r="1" spans="1:20" s="15" customFormat="1" ht="35.1" customHeight="1" x14ac:dyDescent="0.2">
      <c r="A1" s="187" t="s">
        <v>20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4"/>
    </row>
    <row r="2" spans="1:20" s="15" customFormat="1" ht="35.1" customHeigh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6"/>
    </row>
    <row r="3" spans="1:20" ht="21" customHeight="1" x14ac:dyDescent="0.2">
      <c r="G3" s="17"/>
      <c r="L3" s="18"/>
      <c r="M3" s="19"/>
      <c r="R3" s="17"/>
    </row>
    <row r="4" spans="1:20" ht="12.75" customHeight="1" x14ac:dyDescent="0.2">
      <c r="B4" s="188" t="s">
        <v>21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P4" s="189" t="s">
        <v>22</v>
      </c>
      <c r="Q4" s="189"/>
      <c r="R4" s="189"/>
      <c r="S4" s="189"/>
    </row>
    <row r="5" spans="1:20" ht="12.75" customHeight="1" x14ac:dyDescent="0.2">
      <c r="B5" s="20"/>
      <c r="C5" s="20"/>
      <c r="D5" s="20"/>
      <c r="E5" s="20"/>
      <c r="F5" s="20"/>
      <c r="G5" s="21" t="s">
        <v>23</v>
      </c>
      <c r="H5" s="190" t="s">
        <v>24</v>
      </c>
      <c r="I5" s="190"/>
      <c r="J5" s="191" t="s">
        <v>25</v>
      </c>
      <c r="K5" s="191"/>
      <c r="L5" s="191" t="s">
        <v>26</v>
      </c>
      <c r="M5" s="191"/>
      <c r="P5" s="189"/>
      <c r="Q5" s="189"/>
      <c r="R5" s="189"/>
      <c r="S5" s="189"/>
    </row>
    <row r="6" spans="1:20" ht="14.25" customHeight="1" x14ac:dyDescent="0.2">
      <c r="A6" s="22" t="str">
        <f t="shared" ref="A6:A11" ca="1" si="0">IF(OR(L6="finalizado",L6="en juego",L6="hoy!"),"Ø","")</f>
        <v/>
      </c>
      <c r="B6" s="23" t="str">
        <f>Q7</f>
        <v>Alemania</v>
      </c>
      <c r="C6" s="24"/>
      <c r="D6" s="25" t="s">
        <v>27</v>
      </c>
      <c r="E6" s="24"/>
      <c r="F6" s="26" t="str">
        <f>Q9</f>
        <v>Costa Rica</v>
      </c>
      <c r="G6" s="27" t="s">
        <v>28</v>
      </c>
      <c r="H6" s="192">
        <v>38877</v>
      </c>
      <c r="I6" s="192"/>
      <c r="J6" s="193">
        <v>0.54166666666666663</v>
      </c>
      <c r="K6" s="193"/>
      <c r="L6" s="194" t="str">
        <f t="shared" ref="L6:L11" ca="1" si="1">IF(OR(H6="",J6="",H6&lt;$Q$24),"",IF(H6=$Q$24,IF(AND(J6&lt;=$R$26,$R$26&lt;=(J6+0.08333333333)),"en juego",IF($R$26&lt;J6,"hoy!","finalizado")),IF($Q$24&gt;H6,"finalizado","")))</f>
        <v/>
      </c>
      <c r="M6" s="194"/>
      <c r="R6" s="17"/>
    </row>
    <row r="7" spans="1:20" ht="14.25" customHeight="1" x14ac:dyDescent="0.35">
      <c r="A7" s="22" t="str">
        <f t="shared" ca="1" si="0"/>
        <v/>
      </c>
      <c r="B7" s="23" t="str">
        <f>Q11</f>
        <v>Polonia</v>
      </c>
      <c r="C7" s="24"/>
      <c r="D7" s="25" t="s">
        <v>27</v>
      </c>
      <c r="E7" s="24"/>
      <c r="F7" s="26" t="str">
        <f>Q13</f>
        <v>Ecuador</v>
      </c>
      <c r="G7" s="27" t="s">
        <v>29</v>
      </c>
      <c r="H7" s="192">
        <v>38877</v>
      </c>
      <c r="I7" s="192"/>
      <c r="J7" s="193">
        <v>0.66666666666666663</v>
      </c>
      <c r="K7" s="193"/>
      <c r="L7" s="194" t="str">
        <f t="shared" ca="1" si="1"/>
        <v/>
      </c>
      <c r="M7" s="194"/>
      <c r="N7" s="28"/>
      <c r="O7" s="29"/>
      <c r="P7" s="30"/>
      <c r="Q7" s="195" t="s">
        <v>30</v>
      </c>
      <c r="R7" s="195"/>
      <c r="S7" s="30"/>
    </row>
    <row r="8" spans="1:20" ht="14.25" customHeight="1" x14ac:dyDescent="0.4">
      <c r="A8" s="22" t="str">
        <f t="shared" ca="1" si="0"/>
        <v/>
      </c>
      <c r="B8" s="23" t="str">
        <f>Q7</f>
        <v>Alemania</v>
      </c>
      <c r="C8" s="24"/>
      <c r="D8" s="25" t="s">
        <v>27</v>
      </c>
      <c r="E8" s="24"/>
      <c r="F8" s="26" t="str">
        <f>Q11</f>
        <v>Polonia</v>
      </c>
      <c r="G8" s="27" t="s">
        <v>31</v>
      </c>
      <c r="H8" s="192">
        <v>38882</v>
      </c>
      <c r="I8" s="192"/>
      <c r="J8" s="193">
        <v>0.66666666666666663</v>
      </c>
      <c r="K8" s="193"/>
      <c r="L8" s="194" t="str">
        <f t="shared" ca="1" si="1"/>
        <v/>
      </c>
      <c r="M8" s="194"/>
      <c r="N8" s="31"/>
      <c r="O8" s="32"/>
      <c r="P8" s="33"/>
      <c r="Q8" s="34"/>
      <c r="R8" s="35"/>
      <c r="S8" s="33"/>
    </row>
    <row r="9" spans="1:20" ht="14.25" customHeight="1" x14ac:dyDescent="0.2">
      <c r="A9" s="22" t="str">
        <f t="shared" ca="1" si="0"/>
        <v/>
      </c>
      <c r="B9" s="23" t="str">
        <f>Q13</f>
        <v>Ecuador</v>
      </c>
      <c r="C9" s="24"/>
      <c r="D9" s="25" t="s">
        <v>27</v>
      </c>
      <c r="E9" s="24"/>
      <c r="F9" s="26" t="str">
        <f>Q9</f>
        <v>Costa Rica</v>
      </c>
      <c r="G9" s="27" t="s">
        <v>32</v>
      </c>
      <c r="H9" s="192">
        <v>38883</v>
      </c>
      <c r="I9" s="192"/>
      <c r="J9" s="193">
        <v>0.41666666666666669</v>
      </c>
      <c r="K9" s="193"/>
      <c r="L9" s="194" t="str">
        <f t="shared" ca="1" si="1"/>
        <v/>
      </c>
      <c r="M9" s="194"/>
      <c r="P9" s="30"/>
      <c r="Q9" s="195" t="s">
        <v>33</v>
      </c>
      <c r="R9" s="195"/>
      <c r="S9" s="30"/>
    </row>
    <row r="10" spans="1:20" ht="14.25" customHeight="1" x14ac:dyDescent="0.2">
      <c r="A10" s="22" t="str">
        <f t="shared" ca="1" si="0"/>
        <v/>
      </c>
      <c r="B10" s="23" t="str">
        <f>Q13</f>
        <v>Ecuador</v>
      </c>
      <c r="C10" s="24"/>
      <c r="D10" s="25" t="s">
        <v>27</v>
      </c>
      <c r="E10" s="24"/>
      <c r="F10" s="26" t="str">
        <f>Q7</f>
        <v>Alemania</v>
      </c>
      <c r="G10" s="27" t="s">
        <v>34</v>
      </c>
      <c r="H10" s="192">
        <v>38888</v>
      </c>
      <c r="I10" s="192"/>
      <c r="J10" s="193">
        <v>0.45833333333333331</v>
      </c>
      <c r="K10" s="193"/>
      <c r="L10" s="194" t="str">
        <f t="shared" ca="1" si="1"/>
        <v/>
      </c>
      <c r="M10" s="194"/>
      <c r="P10" s="33"/>
      <c r="Q10" s="34"/>
      <c r="R10" s="35"/>
      <c r="S10" s="33"/>
    </row>
    <row r="11" spans="1:20" ht="14.25" customHeight="1" x14ac:dyDescent="0.2">
      <c r="A11" s="22" t="str">
        <f t="shared" ca="1" si="0"/>
        <v/>
      </c>
      <c r="B11" s="23" t="str">
        <f>Q9</f>
        <v>Costa Rica</v>
      </c>
      <c r="C11" s="24"/>
      <c r="D11" s="25" t="s">
        <v>27</v>
      </c>
      <c r="E11" s="24"/>
      <c r="F11" s="26" t="str">
        <f>Q11</f>
        <v>Polonia</v>
      </c>
      <c r="G11" s="27" t="s">
        <v>35</v>
      </c>
      <c r="H11" s="192">
        <v>38888</v>
      </c>
      <c r="I11" s="192"/>
      <c r="J11" s="193">
        <v>0.45833333333333331</v>
      </c>
      <c r="K11" s="193"/>
      <c r="L11" s="194" t="str">
        <f t="shared" ca="1" si="1"/>
        <v/>
      </c>
      <c r="M11" s="194"/>
      <c r="P11" s="30"/>
      <c r="Q11" s="195" t="s">
        <v>36</v>
      </c>
      <c r="R11" s="195"/>
      <c r="S11" s="30"/>
    </row>
    <row r="12" spans="1:20" ht="13.5" customHeight="1" x14ac:dyDescent="0.2">
      <c r="B12" s="36"/>
      <c r="C12" s="37"/>
      <c r="D12" s="38"/>
      <c r="E12" s="37"/>
      <c r="F12" s="20"/>
      <c r="G12" s="39"/>
      <c r="H12" s="38"/>
      <c r="I12" s="40"/>
      <c r="J12" s="18"/>
      <c r="K12" s="41"/>
      <c r="L12" s="42"/>
      <c r="M12" s="42"/>
      <c r="P12" s="33"/>
      <c r="Q12" s="34"/>
      <c r="R12" s="35"/>
      <c r="S12" s="33"/>
    </row>
    <row r="13" spans="1:20" ht="13.5" customHeight="1" x14ac:dyDescent="0.2">
      <c r="B13" s="36"/>
      <c r="C13" s="37"/>
      <c r="D13" s="38"/>
      <c r="E13" s="37"/>
      <c r="F13" s="20"/>
      <c r="G13" s="39"/>
      <c r="H13" s="38"/>
      <c r="I13" s="38"/>
      <c r="J13" s="18"/>
      <c r="K13" s="43"/>
      <c r="L13" s="42"/>
      <c r="M13" s="42"/>
      <c r="P13" s="30"/>
      <c r="Q13" s="195" t="s">
        <v>37</v>
      </c>
      <c r="R13" s="195"/>
      <c r="S13" s="30"/>
    </row>
    <row r="14" spans="1:20" ht="13.5" customHeight="1" x14ac:dyDescent="0.2">
      <c r="B14" s="36"/>
      <c r="C14" s="37"/>
      <c r="D14" s="38"/>
      <c r="E14" s="37"/>
      <c r="F14" s="20"/>
      <c r="G14" s="39"/>
      <c r="H14" s="38"/>
      <c r="I14" s="38"/>
      <c r="J14" s="44"/>
      <c r="K14" s="18"/>
      <c r="L14" s="42"/>
      <c r="M14" s="42"/>
      <c r="Q14" s="45"/>
      <c r="R14" s="46"/>
    </row>
    <row r="15" spans="1:20" x14ac:dyDescent="0.2">
      <c r="G15" s="188" t="s">
        <v>38</v>
      </c>
      <c r="H15" s="188"/>
      <c r="I15" s="188"/>
      <c r="J15" s="188"/>
      <c r="K15" s="188"/>
      <c r="L15" s="188"/>
      <c r="M15" s="188"/>
      <c r="N15" s="188"/>
      <c r="O15" s="188"/>
      <c r="R15" s="17"/>
    </row>
    <row r="16" spans="1:20" x14ac:dyDescent="0.2">
      <c r="G16" s="47"/>
      <c r="H16" s="48" t="s">
        <v>39</v>
      </c>
      <c r="I16" s="48" t="s">
        <v>40</v>
      </c>
      <c r="J16" s="48" t="s">
        <v>41</v>
      </c>
      <c r="K16" s="48" t="s">
        <v>42</v>
      </c>
      <c r="L16" s="48" t="s">
        <v>43</v>
      </c>
      <c r="M16" s="48" t="s">
        <v>44</v>
      </c>
      <c r="N16" s="48" t="s">
        <v>45</v>
      </c>
      <c r="O16" s="48" t="s">
        <v>46</v>
      </c>
      <c r="R16" s="17"/>
    </row>
    <row r="17" spans="1:20" x14ac:dyDescent="0.2">
      <c r="F17" s="49" t="s">
        <v>47</v>
      </c>
      <c r="G17" s="50" t="str">
        <f>calculoA!F52</f>
        <v>Alemania</v>
      </c>
      <c r="H17" s="26">
        <f>calculoA!G52</f>
        <v>0</v>
      </c>
      <c r="I17" s="26">
        <f>calculoA!H52</f>
        <v>0</v>
      </c>
      <c r="J17" s="26">
        <f>calculoA!I52</f>
        <v>0</v>
      </c>
      <c r="K17" s="26">
        <f>calculoA!J52</f>
        <v>0</v>
      </c>
      <c r="L17" s="26">
        <f>calculoA!K52</f>
        <v>0</v>
      </c>
      <c r="M17" s="26">
        <f>calculoA!L52</f>
        <v>0</v>
      </c>
      <c r="N17" s="26">
        <f>L17-M17</f>
        <v>0</v>
      </c>
      <c r="O17" s="26">
        <f>calculoA!M52</f>
        <v>0</v>
      </c>
      <c r="P17" s="51"/>
      <c r="Q17" s="52"/>
      <c r="R17" s="53"/>
      <c r="S17" s="52"/>
    </row>
    <row r="18" spans="1:20" x14ac:dyDescent="0.2">
      <c r="F18" s="49" t="s">
        <v>47</v>
      </c>
      <c r="G18" s="50" t="str">
        <f>calculoA!F53</f>
        <v>Costa Rica</v>
      </c>
      <c r="H18" s="26">
        <f>calculoA!G53</f>
        <v>0</v>
      </c>
      <c r="I18" s="26">
        <f>calculoA!H53</f>
        <v>0</v>
      </c>
      <c r="J18" s="26">
        <f>calculoA!I53</f>
        <v>0</v>
      </c>
      <c r="K18" s="26">
        <f>calculoA!J53</f>
        <v>0</v>
      </c>
      <c r="L18" s="26">
        <f>calculoA!K53</f>
        <v>0</v>
      </c>
      <c r="M18" s="26">
        <f>calculoA!L53</f>
        <v>0</v>
      </c>
      <c r="N18" s="26">
        <f>L18-M18</f>
        <v>0</v>
      </c>
      <c r="O18" s="26">
        <f>calculoA!M53</f>
        <v>0</v>
      </c>
      <c r="P18" s="51"/>
      <c r="Q18" s="52"/>
      <c r="R18" s="53"/>
      <c r="S18" s="52"/>
    </row>
    <row r="19" spans="1:20" x14ac:dyDescent="0.2">
      <c r="F19" s="52"/>
      <c r="G19" s="50" t="str">
        <f>calculoA!F54</f>
        <v>Polonia</v>
      </c>
      <c r="H19" s="26">
        <f>calculoA!G54</f>
        <v>0</v>
      </c>
      <c r="I19" s="26">
        <f>calculoA!H54</f>
        <v>0</v>
      </c>
      <c r="J19" s="26">
        <f>calculoA!I54</f>
        <v>0</v>
      </c>
      <c r="K19" s="26">
        <f>calculoA!J54</f>
        <v>0</v>
      </c>
      <c r="L19" s="26">
        <f>calculoA!K54</f>
        <v>0</v>
      </c>
      <c r="M19" s="26">
        <f>calculoA!L54</f>
        <v>0</v>
      </c>
      <c r="N19" s="26">
        <f>L19-M19</f>
        <v>0</v>
      </c>
      <c r="O19" s="26">
        <f>calculoA!M54</f>
        <v>0</v>
      </c>
      <c r="P19" s="54"/>
      <c r="Q19" s="52"/>
      <c r="R19" s="53"/>
      <c r="S19" s="52"/>
    </row>
    <row r="20" spans="1:20" x14ac:dyDescent="0.2">
      <c r="F20" s="52"/>
      <c r="G20" s="50" t="str">
        <f>calculoA!F55</f>
        <v>Ecuador</v>
      </c>
      <c r="H20" s="26">
        <f>calculoA!G55</f>
        <v>0</v>
      </c>
      <c r="I20" s="26">
        <f>calculoA!H55</f>
        <v>0</v>
      </c>
      <c r="J20" s="26">
        <f>calculoA!I55</f>
        <v>0</v>
      </c>
      <c r="K20" s="26">
        <f>calculoA!J55</f>
        <v>0</v>
      </c>
      <c r="L20" s="26">
        <f>calculoA!K55</f>
        <v>0</v>
      </c>
      <c r="M20" s="26">
        <f>calculoA!L55</f>
        <v>0</v>
      </c>
      <c r="N20" s="26">
        <f>L20-M20</f>
        <v>0</v>
      </c>
      <c r="O20" s="26">
        <f>calculoA!M55</f>
        <v>0</v>
      </c>
      <c r="P20" s="54"/>
      <c r="Q20" s="54"/>
      <c r="R20" s="55"/>
      <c r="S20" s="54"/>
    </row>
    <row r="21" spans="1:20" x14ac:dyDescent="0.2">
      <c r="N21" s="56"/>
      <c r="O21" s="56"/>
      <c r="P21" s="56"/>
      <c r="Q21" s="56"/>
      <c r="R21" s="57"/>
      <c r="S21" s="56"/>
    </row>
    <row r="22" spans="1:20" ht="11.25" customHeight="1" x14ac:dyDescent="0.2">
      <c r="N22" s="56"/>
      <c r="O22" s="56"/>
      <c r="P22" s="56"/>
      <c r="Q22" s="56"/>
      <c r="R22" s="57"/>
      <c r="S22" s="56"/>
    </row>
    <row r="23" spans="1:20" ht="9" customHeight="1" x14ac:dyDescent="0.2">
      <c r="N23" s="56"/>
      <c r="O23" s="56"/>
      <c r="P23" s="56"/>
      <c r="R23" s="58"/>
      <c r="S23" s="56"/>
    </row>
    <row r="24" spans="1:20" ht="13.5" x14ac:dyDescent="0.25">
      <c r="B24" s="59"/>
      <c r="C24" s="60"/>
      <c r="N24" s="61"/>
      <c r="O24" s="61"/>
      <c r="P24" s="62" t="s">
        <v>48</v>
      </c>
      <c r="Q24" s="63">
        <f ca="1">TODAY()</f>
        <v>42230</v>
      </c>
      <c r="R24" s="64">
        <f ca="1">NOW()</f>
        <v>42230.789250000002</v>
      </c>
      <c r="S24" s="65"/>
    </row>
    <row r="25" spans="1:20" hidden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/>
      <c r="O25" s="67"/>
      <c r="P25" s="67"/>
      <c r="Q25" s="68">
        <f ca="1">HOUR(R24)</f>
        <v>18</v>
      </c>
      <c r="R25" s="68">
        <f ca="1">MINUTE(R24)</f>
        <v>56</v>
      </c>
      <c r="S25" s="69"/>
      <c r="T25" s="66"/>
    </row>
    <row r="26" spans="1:20" hidden="1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7"/>
      <c r="O26" s="67"/>
      <c r="P26" s="66"/>
      <c r="Q26" s="68"/>
      <c r="R26" s="70">
        <f ca="1">TIME(Q25,R25,0)</f>
        <v>0.78888888888888886</v>
      </c>
      <c r="S26" s="69"/>
      <c r="T26" s="66"/>
    </row>
    <row r="27" spans="1:20" x14ac:dyDescent="0.2">
      <c r="N27" s="56"/>
      <c r="O27" s="56"/>
      <c r="P27" s="56"/>
      <c r="Q27" s="65"/>
      <c r="R27" s="65"/>
      <c r="S27" s="65"/>
    </row>
    <row r="28" spans="1:20" x14ac:dyDescent="0.2">
      <c r="N28" s="56"/>
      <c r="O28" s="56"/>
      <c r="P28" s="56"/>
      <c r="Q28" s="196" t="s">
        <v>18</v>
      </c>
      <c r="R28" s="196" t="s">
        <v>19</v>
      </c>
      <c r="S28" s="65"/>
    </row>
    <row r="29" spans="1:20" x14ac:dyDescent="0.2">
      <c r="N29" s="56"/>
      <c r="O29" s="56"/>
      <c r="P29" s="56"/>
      <c r="Q29" s="65"/>
      <c r="R29" s="65"/>
      <c r="S29" s="65"/>
    </row>
  </sheetData>
  <sheetProtection sheet="1" objects="1" scenarios="1"/>
  <mergeCells count="30">
    <mergeCell ref="Q11:R11"/>
    <mergeCell ref="Q13:R13"/>
    <mergeCell ref="G15:O15"/>
    <mergeCell ref="Q28:R28"/>
    <mergeCell ref="H10:I10"/>
    <mergeCell ref="J10:K10"/>
    <mergeCell ref="L10:M10"/>
    <mergeCell ref="H11:I11"/>
    <mergeCell ref="J11:K11"/>
    <mergeCell ref="L11:M11"/>
    <mergeCell ref="Q7:R7"/>
    <mergeCell ref="H8:I8"/>
    <mergeCell ref="J8:K8"/>
    <mergeCell ref="L8:M8"/>
    <mergeCell ref="H9:I9"/>
    <mergeCell ref="J9:K9"/>
    <mergeCell ref="L9:M9"/>
    <mergeCell ref="Q9:R9"/>
    <mergeCell ref="H6:I6"/>
    <mergeCell ref="J6:K6"/>
    <mergeCell ref="L6:M6"/>
    <mergeCell ref="H7:I7"/>
    <mergeCell ref="J7:K7"/>
    <mergeCell ref="L7:M7"/>
    <mergeCell ref="A1:S2"/>
    <mergeCell ref="B4:M4"/>
    <mergeCell ref="P4:S5"/>
    <mergeCell ref="H5:I5"/>
    <mergeCell ref="J5:K5"/>
    <mergeCell ref="L5:M5"/>
  </mergeCells>
  <conditionalFormatting sqref="B6:G6 H6:I7 J6:M6">
    <cfRule type="expression" dxfId="96" priority="1" stopIfTrue="1">
      <formula>IF(OR($L$6="en juego",$L$6="hoy!"),1,0)</formula>
    </cfRule>
  </conditionalFormatting>
  <conditionalFormatting sqref="B7:G7 J7:M7">
    <cfRule type="expression" dxfId="95" priority="2" stopIfTrue="1">
      <formula>IF(OR($L$7="en juego",$L$7="hoy!"),1,0)</formula>
    </cfRule>
  </conditionalFormatting>
  <conditionalFormatting sqref="B8:M8">
    <cfRule type="expression" dxfId="94" priority="3" stopIfTrue="1">
      <formula>IF(OR($L$8="en juego",$L$8="hoy!"),1,0)</formula>
    </cfRule>
  </conditionalFormatting>
  <conditionalFormatting sqref="B9:M9">
    <cfRule type="expression" dxfId="93" priority="4" stopIfTrue="1">
      <formula>IF(OR($L$9="en juego",$L$9="hoy!"),1,0)</formula>
    </cfRule>
  </conditionalFormatting>
  <conditionalFormatting sqref="B10:G10 H10:K11 L10:M10">
    <cfRule type="expression" dxfId="92" priority="5" stopIfTrue="1">
      <formula>IF(OR($L$10="en juego",$L$10="hoy!"),1,0)</formula>
    </cfRule>
  </conditionalFormatting>
  <conditionalFormatting sqref="B11:G11 L11:M11">
    <cfRule type="expression" dxfId="91" priority="6" stopIfTrue="1">
      <formula>IF(OR($L$11="en juego",$L$11="hoy!"),1,0)</formula>
    </cfRule>
  </conditionalFormatting>
  <conditionalFormatting sqref="F17:F18">
    <cfRule type="expression" dxfId="90" priority="7" stopIfTrue="1">
      <formula>IF(AND($H$17=3,$H$18=3,$H$19=3,$H$20=3),1,0)</formula>
    </cfRule>
  </conditionalFormatting>
  <conditionalFormatting sqref="G17:O18">
    <cfRule type="expression" dxfId="89" priority="8" stopIfTrue="1">
      <formula>IF(AND($H$17=3,$H$18=3,$H$19=3,$H$20=3),1,0)</formula>
    </cfRule>
  </conditionalFormatting>
  <dataValidations count="1">
    <dataValidation type="whole" allowBlank="1" showErrorMessage="1" errorTitle="Dato no válido" error="Ingrese sólo un número entero_x000a_entre 0 y 99." sqref="C6:C11 E6:E11">
      <formula1>0</formula1>
      <formula2>99</formula2>
    </dataValidation>
  </dataValidations>
  <hyperlinks>
    <hyperlink ref="Q28" location="Portada!A1" display="Menu Principal"/>
    <hyperlink ref="R28" location="Portada!A1" display="#Portada.A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55"/>
  <sheetViews>
    <sheetView showGridLines="0" showRowColHeaders="0" showOutlineSymbols="0" workbookViewId="0">
      <pane xSplit="5" topLeftCell="F1" activePane="topRight" state="frozen"/>
      <selection pane="topRight"/>
    </sheetView>
  </sheetViews>
  <sheetFormatPr baseColWidth="10" defaultColWidth="3.7109375" defaultRowHeight="12.75" x14ac:dyDescent="0.2"/>
  <cols>
    <col min="1" max="1" width="9.140625" customWidth="1"/>
    <col min="2" max="2" width="2.7109375" customWidth="1"/>
    <col min="3" max="3" width="1.5703125" customWidth="1"/>
    <col min="4" max="4" width="2.7109375" customWidth="1"/>
    <col min="5" max="5" width="9.140625" customWidth="1"/>
    <col min="6" max="6" width="10.85546875" customWidth="1"/>
  </cols>
  <sheetData>
    <row r="2" spans="1:36" x14ac:dyDescent="0.2">
      <c r="A2" s="219" t="s">
        <v>146</v>
      </c>
      <c r="B2" s="219"/>
      <c r="C2" s="219"/>
      <c r="D2" s="219"/>
      <c r="E2" s="219"/>
      <c r="G2" t="str">
        <f>'Grupo C'!Q7</f>
        <v>Argentina</v>
      </c>
      <c r="N2" t="str">
        <f>'Grupo C'!Q9</f>
        <v>Costa de Marfil</v>
      </c>
      <c r="U2" t="str">
        <f>'Grupo C'!Q11</f>
        <v>Serbia y Montenegro</v>
      </c>
      <c r="AB2" t="str">
        <f>'Grupo C'!Q13</f>
        <v>Holanda</v>
      </c>
    </row>
    <row r="3" spans="1:36" x14ac:dyDescent="0.2">
      <c r="F3" t="s">
        <v>147</v>
      </c>
      <c r="G3" t="s">
        <v>148</v>
      </c>
      <c r="H3" t="s">
        <v>149</v>
      </c>
      <c r="I3" t="s">
        <v>150</v>
      </c>
      <c r="J3" t="s">
        <v>151</v>
      </c>
      <c r="K3" t="s">
        <v>152</v>
      </c>
      <c r="L3" t="s">
        <v>153</v>
      </c>
      <c r="N3" t="s">
        <v>148</v>
      </c>
      <c r="O3" t="s">
        <v>149</v>
      </c>
      <c r="P3" t="s">
        <v>150</v>
      </c>
      <c r="Q3" t="s">
        <v>151</v>
      </c>
      <c r="R3" t="s">
        <v>152</v>
      </c>
      <c r="S3" t="s">
        <v>153</v>
      </c>
      <c r="U3" t="s">
        <v>148</v>
      </c>
      <c r="V3" t="s">
        <v>149</v>
      </c>
      <c r="W3" t="s">
        <v>150</v>
      </c>
      <c r="X3" t="s">
        <v>151</v>
      </c>
      <c r="Y3" t="s">
        <v>152</v>
      </c>
      <c r="Z3" t="s">
        <v>153</v>
      </c>
      <c r="AB3" t="s">
        <v>148</v>
      </c>
      <c r="AC3" t="s">
        <v>149</v>
      </c>
      <c r="AD3" t="s">
        <v>150</v>
      </c>
      <c r="AE3" t="s">
        <v>151</v>
      </c>
      <c r="AF3" t="s">
        <v>152</v>
      </c>
      <c r="AG3" t="s">
        <v>153</v>
      </c>
    </row>
    <row r="4" spans="1:36" x14ac:dyDescent="0.2">
      <c r="A4" s="177" t="str">
        <f>'Grupo C'!B6</f>
        <v>Argentina</v>
      </c>
      <c r="B4" s="178">
        <f>'Grupo C'!C6</f>
        <v>0</v>
      </c>
      <c r="C4" s="178" t="str">
        <f>'Grupo C'!D6</f>
        <v>-</v>
      </c>
      <c r="D4" s="178">
        <f>'Grupo C'!E6</f>
        <v>0</v>
      </c>
      <c r="E4" s="179" t="str">
        <f>'Grupo C'!F6</f>
        <v>Costa de Marfil</v>
      </c>
      <c r="F4" s="178">
        <f>COUNTBLANK('Grupo C'!C6:E6)</f>
        <v>2</v>
      </c>
      <c r="G4" s="180">
        <f t="shared" ref="G4:G9" si="0">IF(AND(F4=0,OR($A4=$G$2,$E4=$G$2)),1,0)</f>
        <v>0</v>
      </c>
      <c r="H4" s="180">
        <f t="shared" ref="H4:H9" si="1">IF(AND(F4=0,OR(AND($A4=$G$2,$B4&gt;$D4),AND($E4=$G$2,$D4&gt;$B4))),1,0)</f>
        <v>0</v>
      </c>
      <c r="I4" s="180">
        <f t="shared" ref="I4:I9" si="2">IF(AND(F4=0,G4=1,$B4=$D4),1,0)</f>
        <v>0</v>
      </c>
      <c r="J4" s="180">
        <f t="shared" ref="J4:J9" si="3">IF(AND(F4=0,OR(AND($A4=$G$2,$B4&lt;$D4),AND($E4=$G$2,$D4&lt;$B4))),1,0)</f>
        <v>0</v>
      </c>
      <c r="K4" s="180">
        <f t="shared" ref="K4:K9" si="4">IF(F4&gt;0,0,IF($A4=$G$2,$B4,IF($E4=$G$2,$D4,0)))</f>
        <v>0</v>
      </c>
      <c r="L4" s="180">
        <f t="shared" ref="L4:L9" si="5">IF(F4&gt;0,0,IF($A4=$G$2,$D4,IF($E4=$G$2,$B4,0)))</f>
        <v>0</v>
      </c>
      <c r="N4" s="180">
        <f t="shared" ref="N4:N9" si="6">IF(AND(F4=0,OR($A4=$N$2,$E4=$N$2)),1,0)</f>
        <v>0</v>
      </c>
      <c r="O4" s="180">
        <f t="shared" ref="O4:O9" si="7">IF(AND(F4=0,OR(AND($A4=$N$2,$B4&gt;$D4),AND($E4=$N$2,$D4&gt;$B4))),1,0)</f>
        <v>0</v>
      </c>
      <c r="P4" s="180">
        <f t="shared" ref="P4:P9" si="8">IF(AND(F4=0,N4=1,$B4=$D4),1,0)</f>
        <v>0</v>
      </c>
      <c r="Q4" s="180">
        <f t="shared" ref="Q4:Q9" si="9">IF(AND(F4=0,OR(AND($A4=$N$2,$B4&lt;$D4),AND($E4=$N$2,$D4&lt;$B4))),1,0)</f>
        <v>0</v>
      </c>
      <c r="R4" s="180">
        <f t="shared" ref="R4:R9" si="10">IF(F4&gt;0,0,IF($A4=$N$2,$B4,IF($E4=$N$2,$D4,0)))</f>
        <v>0</v>
      </c>
      <c r="S4" s="180">
        <f t="shared" ref="S4:S9" si="11">IF(F4&gt;0,0,IF($A4=$N$2,$D4,IF($E4=$N$2,$B4,0)))</f>
        <v>0</v>
      </c>
      <c r="U4" s="180">
        <f t="shared" ref="U4:U9" si="12">IF(AND(F4=0,OR($A4=$U$2,$E4=$U$2)),1,0)</f>
        <v>0</v>
      </c>
      <c r="V4" s="180">
        <f t="shared" ref="V4:V9" si="13">IF(AND(F4=0,OR(AND($A4=$U$2,$B4&gt;$D4),AND($E4=$U$2,$D4&gt;$B4))),1,0)</f>
        <v>0</v>
      </c>
      <c r="W4" s="180">
        <f t="shared" ref="W4:W9" si="14">IF(AND(F4=0,U4=1,$B4=$D4),1,0)</f>
        <v>0</v>
      </c>
      <c r="X4" s="180">
        <f t="shared" ref="X4:X9" si="15">IF(AND(F4=0,OR(AND($A4=$U$2,$B4&lt;$D4),AND($E4=$U$2,$D4&lt;$B4))),1,0)</f>
        <v>0</v>
      </c>
      <c r="Y4" s="180">
        <f t="shared" ref="Y4:Y9" si="16">IF(F4&gt;0,0,IF($A4=$U$2,$B4,IF($E4=$U$2,$D4,0)))</f>
        <v>0</v>
      </c>
      <c r="Z4" s="180">
        <f t="shared" ref="Z4:Z9" si="17">IF(F4&gt;0,0,IF($A4=$U$2,$D4,IF($E4=$U$2,$B4,0)))</f>
        <v>0</v>
      </c>
      <c r="AB4" s="180">
        <f t="shared" ref="AB4:AB9" si="18">IF(AND(F4=0,OR($A4=$AB$2,$E4=$AB$2)),1,0)</f>
        <v>0</v>
      </c>
      <c r="AC4" s="180">
        <f t="shared" ref="AC4:AC9" si="19">IF(AND(F4=0,OR(AND($A4=$AB$2,$B4&gt;$D4),AND($E4=$AB$2,$D4&gt;$B4))),1,0)</f>
        <v>0</v>
      </c>
      <c r="AD4" s="180">
        <f t="shared" ref="AD4:AD9" si="20">IF(AND(F4=0,AB4=1,$B4=$D4),1,0)</f>
        <v>0</v>
      </c>
      <c r="AE4" s="180">
        <f t="shared" ref="AE4:AE9" si="21">IF(AND(F4=0,OR(AND($A4=$AB$2,$B4&lt;$D4),AND($E4=$AB$2,$D4&lt;$B4))),1,0)</f>
        <v>0</v>
      </c>
      <c r="AF4" s="180">
        <f t="shared" ref="AF4:AF9" si="22">IF(F4&gt;0,0,IF($A4=$AB$2,$B4,IF($E4=$AB$2,$D4,0)))</f>
        <v>0</v>
      </c>
      <c r="AG4" s="180">
        <f t="shared" ref="AG4:AG9" si="23">IF(F4&gt;0,0,IF($A4=$AB$2,$D4,IF($E4=$AB$2,$B4,0)))</f>
        <v>0</v>
      </c>
    </row>
    <row r="5" spans="1:36" x14ac:dyDescent="0.2">
      <c r="A5" s="177" t="str">
        <f>'Grupo C'!B7</f>
        <v>Serbia y Montenegro</v>
      </c>
      <c r="B5" s="178">
        <f>'Grupo C'!C7</f>
        <v>0</v>
      </c>
      <c r="C5" s="178" t="str">
        <f>'Grupo C'!D7</f>
        <v>-</v>
      </c>
      <c r="D5" s="178">
        <f>'Grupo C'!E7</f>
        <v>0</v>
      </c>
      <c r="E5" s="179" t="str">
        <f>'Grupo C'!F7</f>
        <v>Holanda</v>
      </c>
      <c r="F5" s="178">
        <f>COUNTBLANK('Grupo C'!C7:E7)</f>
        <v>2</v>
      </c>
      <c r="G5" s="180">
        <f t="shared" si="0"/>
        <v>0</v>
      </c>
      <c r="H5" s="180">
        <f t="shared" si="1"/>
        <v>0</v>
      </c>
      <c r="I5" s="180">
        <f t="shared" si="2"/>
        <v>0</v>
      </c>
      <c r="J5" s="180">
        <f t="shared" si="3"/>
        <v>0</v>
      </c>
      <c r="K5" s="180">
        <f t="shared" si="4"/>
        <v>0</v>
      </c>
      <c r="L5" s="180">
        <f t="shared" si="5"/>
        <v>0</v>
      </c>
      <c r="N5" s="180">
        <f t="shared" si="6"/>
        <v>0</v>
      </c>
      <c r="O5" s="180">
        <f t="shared" si="7"/>
        <v>0</v>
      </c>
      <c r="P5" s="180">
        <f t="shared" si="8"/>
        <v>0</v>
      </c>
      <c r="Q5" s="180">
        <f t="shared" si="9"/>
        <v>0</v>
      </c>
      <c r="R5" s="180">
        <f t="shared" si="10"/>
        <v>0</v>
      </c>
      <c r="S5" s="180">
        <f t="shared" si="11"/>
        <v>0</v>
      </c>
      <c r="U5" s="180">
        <f t="shared" si="12"/>
        <v>0</v>
      </c>
      <c r="V5" s="180">
        <f t="shared" si="13"/>
        <v>0</v>
      </c>
      <c r="W5" s="180">
        <f t="shared" si="14"/>
        <v>0</v>
      </c>
      <c r="X5" s="180">
        <f t="shared" si="15"/>
        <v>0</v>
      </c>
      <c r="Y5" s="180">
        <f t="shared" si="16"/>
        <v>0</v>
      </c>
      <c r="Z5" s="180">
        <f t="shared" si="17"/>
        <v>0</v>
      </c>
      <c r="AB5" s="180">
        <f t="shared" si="18"/>
        <v>0</v>
      </c>
      <c r="AC5" s="180">
        <f t="shared" si="19"/>
        <v>0</v>
      </c>
      <c r="AD5" s="180">
        <f t="shared" si="20"/>
        <v>0</v>
      </c>
      <c r="AE5" s="180">
        <f t="shared" si="21"/>
        <v>0</v>
      </c>
      <c r="AF5" s="180">
        <f t="shared" si="22"/>
        <v>0</v>
      </c>
      <c r="AG5" s="180">
        <f t="shared" si="23"/>
        <v>0</v>
      </c>
    </row>
    <row r="6" spans="1:36" x14ac:dyDescent="0.2">
      <c r="A6" s="177" t="str">
        <f>'Grupo C'!B8</f>
        <v>Argentina</v>
      </c>
      <c r="B6" s="178">
        <f>'Grupo C'!C8</f>
        <v>0</v>
      </c>
      <c r="C6" s="178" t="str">
        <f>'Grupo C'!D8</f>
        <v>-</v>
      </c>
      <c r="D6" s="178">
        <f>'Grupo C'!E8</f>
        <v>0</v>
      </c>
      <c r="E6" s="179" t="str">
        <f>'Grupo C'!F8</f>
        <v>Serbia y Montenegro</v>
      </c>
      <c r="F6" s="178">
        <f>COUNTBLANK('Grupo C'!C8:E8)</f>
        <v>2</v>
      </c>
      <c r="G6" s="180">
        <f t="shared" si="0"/>
        <v>0</v>
      </c>
      <c r="H6" s="180">
        <f t="shared" si="1"/>
        <v>0</v>
      </c>
      <c r="I6" s="180">
        <f t="shared" si="2"/>
        <v>0</v>
      </c>
      <c r="J6" s="180">
        <f t="shared" si="3"/>
        <v>0</v>
      </c>
      <c r="K6" s="180">
        <f t="shared" si="4"/>
        <v>0</v>
      </c>
      <c r="L6" s="180">
        <f t="shared" si="5"/>
        <v>0</v>
      </c>
      <c r="N6" s="180">
        <f t="shared" si="6"/>
        <v>0</v>
      </c>
      <c r="O6" s="180">
        <f t="shared" si="7"/>
        <v>0</v>
      </c>
      <c r="P6" s="180">
        <f t="shared" si="8"/>
        <v>0</v>
      </c>
      <c r="Q6" s="180">
        <f t="shared" si="9"/>
        <v>0</v>
      </c>
      <c r="R6" s="180">
        <f t="shared" si="10"/>
        <v>0</v>
      </c>
      <c r="S6" s="180">
        <f t="shared" si="11"/>
        <v>0</v>
      </c>
      <c r="U6" s="180">
        <f t="shared" si="12"/>
        <v>0</v>
      </c>
      <c r="V6" s="180">
        <f t="shared" si="13"/>
        <v>0</v>
      </c>
      <c r="W6" s="180">
        <f t="shared" si="14"/>
        <v>0</v>
      </c>
      <c r="X6" s="180">
        <f t="shared" si="15"/>
        <v>0</v>
      </c>
      <c r="Y6" s="180">
        <f t="shared" si="16"/>
        <v>0</v>
      </c>
      <c r="Z6" s="180">
        <f t="shared" si="17"/>
        <v>0</v>
      </c>
      <c r="AB6" s="180">
        <f t="shared" si="18"/>
        <v>0</v>
      </c>
      <c r="AC6" s="180">
        <f t="shared" si="19"/>
        <v>0</v>
      </c>
      <c r="AD6" s="180">
        <f t="shared" si="20"/>
        <v>0</v>
      </c>
      <c r="AE6" s="180">
        <f t="shared" si="21"/>
        <v>0</v>
      </c>
      <c r="AF6" s="180">
        <f t="shared" si="22"/>
        <v>0</v>
      </c>
      <c r="AG6" s="180">
        <f t="shared" si="23"/>
        <v>0</v>
      </c>
    </row>
    <row r="7" spans="1:36" x14ac:dyDescent="0.2">
      <c r="A7" s="177" t="str">
        <f>'Grupo C'!B9</f>
        <v>Holanda</v>
      </c>
      <c r="B7" s="178">
        <f>'Grupo C'!C9</f>
        <v>0</v>
      </c>
      <c r="C7" s="178" t="str">
        <f>'Grupo C'!D9</f>
        <v>-</v>
      </c>
      <c r="D7" s="178">
        <f>'Grupo C'!E9</f>
        <v>0</v>
      </c>
      <c r="E7" s="179" t="str">
        <f>'Grupo C'!F9</f>
        <v>Costa de Marfil</v>
      </c>
      <c r="F7" s="178">
        <f>COUNTBLANK('Grupo C'!C9:E9)</f>
        <v>2</v>
      </c>
      <c r="G7" s="180">
        <f t="shared" si="0"/>
        <v>0</v>
      </c>
      <c r="H7" s="180">
        <f t="shared" si="1"/>
        <v>0</v>
      </c>
      <c r="I7" s="180">
        <f t="shared" si="2"/>
        <v>0</v>
      </c>
      <c r="J7" s="180">
        <f t="shared" si="3"/>
        <v>0</v>
      </c>
      <c r="K7" s="180">
        <f t="shared" si="4"/>
        <v>0</v>
      </c>
      <c r="L7" s="180">
        <f t="shared" si="5"/>
        <v>0</v>
      </c>
      <c r="N7" s="180">
        <f t="shared" si="6"/>
        <v>0</v>
      </c>
      <c r="O7" s="180">
        <f t="shared" si="7"/>
        <v>0</v>
      </c>
      <c r="P7" s="180">
        <f t="shared" si="8"/>
        <v>0</v>
      </c>
      <c r="Q7" s="180">
        <f t="shared" si="9"/>
        <v>0</v>
      </c>
      <c r="R7" s="180">
        <f t="shared" si="10"/>
        <v>0</v>
      </c>
      <c r="S7" s="180">
        <f t="shared" si="11"/>
        <v>0</v>
      </c>
      <c r="U7" s="180">
        <f t="shared" si="12"/>
        <v>0</v>
      </c>
      <c r="V7" s="180">
        <f t="shared" si="13"/>
        <v>0</v>
      </c>
      <c r="W7" s="180">
        <f t="shared" si="14"/>
        <v>0</v>
      </c>
      <c r="X7" s="180">
        <f t="shared" si="15"/>
        <v>0</v>
      </c>
      <c r="Y7" s="180">
        <f t="shared" si="16"/>
        <v>0</v>
      </c>
      <c r="Z7" s="180">
        <f t="shared" si="17"/>
        <v>0</v>
      </c>
      <c r="AB7" s="180">
        <f t="shared" si="18"/>
        <v>0</v>
      </c>
      <c r="AC7" s="180">
        <f t="shared" si="19"/>
        <v>0</v>
      </c>
      <c r="AD7" s="180">
        <f t="shared" si="20"/>
        <v>0</v>
      </c>
      <c r="AE7" s="180">
        <f t="shared" si="21"/>
        <v>0</v>
      </c>
      <c r="AF7" s="180">
        <f t="shared" si="22"/>
        <v>0</v>
      </c>
      <c r="AG7" s="180">
        <f t="shared" si="23"/>
        <v>0</v>
      </c>
    </row>
    <row r="8" spans="1:36" x14ac:dyDescent="0.2">
      <c r="A8" s="177" t="str">
        <f>'Grupo C'!B10</f>
        <v>Holanda</v>
      </c>
      <c r="B8" s="178">
        <f>'Grupo C'!C10</f>
        <v>0</v>
      </c>
      <c r="C8" s="178" t="str">
        <f>'Grupo C'!D10</f>
        <v>-</v>
      </c>
      <c r="D8" s="178">
        <f>'Grupo C'!E10</f>
        <v>0</v>
      </c>
      <c r="E8" s="179" t="str">
        <f>'Grupo C'!F10</f>
        <v>Argentina</v>
      </c>
      <c r="F8" s="178">
        <f>COUNTBLANK('Grupo C'!C10:E10)</f>
        <v>2</v>
      </c>
      <c r="G8" s="180">
        <f t="shared" si="0"/>
        <v>0</v>
      </c>
      <c r="H8" s="180">
        <f t="shared" si="1"/>
        <v>0</v>
      </c>
      <c r="I8" s="180">
        <f t="shared" si="2"/>
        <v>0</v>
      </c>
      <c r="J8" s="180">
        <f t="shared" si="3"/>
        <v>0</v>
      </c>
      <c r="K8" s="180">
        <f t="shared" si="4"/>
        <v>0</v>
      </c>
      <c r="L8" s="180">
        <f t="shared" si="5"/>
        <v>0</v>
      </c>
      <c r="N8" s="180">
        <f t="shared" si="6"/>
        <v>0</v>
      </c>
      <c r="O8" s="180">
        <f t="shared" si="7"/>
        <v>0</v>
      </c>
      <c r="P8" s="180">
        <f t="shared" si="8"/>
        <v>0</v>
      </c>
      <c r="Q8" s="180">
        <f t="shared" si="9"/>
        <v>0</v>
      </c>
      <c r="R8" s="180">
        <f t="shared" si="10"/>
        <v>0</v>
      </c>
      <c r="S8" s="180">
        <f t="shared" si="11"/>
        <v>0</v>
      </c>
      <c r="U8" s="180">
        <f t="shared" si="12"/>
        <v>0</v>
      </c>
      <c r="V8" s="180">
        <f t="shared" si="13"/>
        <v>0</v>
      </c>
      <c r="W8" s="180">
        <f t="shared" si="14"/>
        <v>0</v>
      </c>
      <c r="X8" s="180">
        <f t="shared" si="15"/>
        <v>0</v>
      </c>
      <c r="Y8" s="180">
        <f t="shared" si="16"/>
        <v>0</v>
      </c>
      <c r="Z8" s="180">
        <f t="shared" si="17"/>
        <v>0</v>
      </c>
      <c r="AB8" s="180">
        <f t="shared" si="18"/>
        <v>0</v>
      </c>
      <c r="AC8" s="180">
        <f t="shared" si="19"/>
        <v>0</v>
      </c>
      <c r="AD8" s="180">
        <f t="shared" si="20"/>
        <v>0</v>
      </c>
      <c r="AE8" s="180">
        <f t="shared" si="21"/>
        <v>0</v>
      </c>
      <c r="AF8" s="180">
        <f t="shared" si="22"/>
        <v>0</v>
      </c>
      <c r="AG8" s="180">
        <f t="shared" si="23"/>
        <v>0</v>
      </c>
    </row>
    <row r="9" spans="1:36" x14ac:dyDescent="0.2">
      <c r="A9" s="177" t="str">
        <f>'Grupo C'!B11</f>
        <v>Costa de Marfil</v>
      </c>
      <c r="B9" s="178">
        <f>'Grupo C'!C11</f>
        <v>0</v>
      </c>
      <c r="C9" s="178" t="str">
        <f>'Grupo C'!D11</f>
        <v>-</v>
      </c>
      <c r="D9" s="178">
        <f>'Grupo C'!E11</f>
        <v>0</v>
      </c>
      <c r="E9" s="179" t="str">
        <f>'Grupo C'!F11</f>
        <v>Serbia y Montenegro</v>
      </c>
      <c r="F9" s="178">
        <f>COUNTBLANK('Grupo C'!C11:E11)</f>
        <v>2</v>
      </c>
      <c r="G9" s="180">
        <f t="shared" si="0"/>
        <v>0</v>
      </c>
      <c r="H9" s="180">
        <f t="shared" si="1"/>
        <v>0</v>
      </c>
      <c r="I9" s="180">
        <f t="shared" si="2"/>
        <v>0</v>
      </c>
      <c r="J9" s="180">
        <f t="shared" si="3"/>
        <v>0</v>
      </c>
      <c r="K9" s="180">
        <f t="shared" si="4"/>
        <v>0</v>
      </c>
      <c r="L9" s="180">
        <f t="shared" si="5"/>
        <v>0</v>
      </c>
      <c r="N9" s="180">
        <f t="shared" si="6"/>
        <v>0</v>
      </c>
      <c r="O9" s="180">
        <f t="shared" si="7"/>
        <v>0</v>
      </c>
      <c r="P9" s="180">
        <f t="shared" si="8"/>
        <v>0</v>
      </c>
      <c r="Q9" s="180">
        <f t="shared" si="9"/>
        <v>0</v>
      </c>
      <c r="R9" s="180">
        <f t="shared" si="10"/>
        <v>0</v>
      </c>
      <c r="S9" s="180">
        <f t="shared" si="11"/>
        <v>0</v>
      </c>
      <c r="U9" s="180">
        <f t="shared" si="12"/>
        <v>0</v>
      </c>
      <c r="V9" s="180">
        <f t="shared" si="13"/>
        <v>0</v>
      </c>
      <c r="W9" s="180">
        <f t="shared" si="14"/>
        <v>0</v>
      </c>
      <c r="X9" s="180">
        <f t="shared" si="15"/>
        <v>0</v>
      </c>
      <c r="Y9" s="180">
        <f t="shared" si="16"/>
        <v>0</v>
      </c>
      <c r="Z9" s="180">
        <f t="shared" si="17"/>
        <v>0</v>
      </c>
      <c r="AB9" s="180">
        <f t="shared" si="18"/>
        <v>0</v>
      </c>
      <c r="AC9" s="180">
        <f t="shared" si="19"/>
        <v>0</v>
      </c>
      <c r="AD9" s="180">
        <f t="shared" si="20"/>
        <v>0</v>
      </c>
      <c r="AE9" s="180">
        <f t="shared" si="21"/>
        <v>0</v>
      </c>
      <c r="AF9" s="180">
        <f t="shared" si="22"/>
        <v>0</v>
      </c>
      <c r="AG9" s="180">
        <f t="shared" si="23"/>
        <v>0</v>
      </c>
    </row>
    <row r="10" spans="1:36" x14ac:dyDescent="0.2">
      <c r="G10" s="180">
        <f t="shared" ref="G10:L10" si="24">SUM(G4:G9)</f>
        <v>0</v>
      </c>
      <c r="H10" s="180">
        <f t="shared" si="24"/>
        <v>0</v>
      </c>
      <c r="I10" s="180">
        <f t="shared" si="24"/>
        <v>0</v>
      </c>
      <c r="J10" s="180">
        <f t="shared" si="24"/>
        <v>0</v>
      </c>
      <c r="K10" s="180">
        <f t="shared" si="24"/>
        <v>0</v>
      </c>
      <c r="L10" s="180">
        <f t="shared" si="24"/>
        <v>0</v>
      </c>
      <c r="M10" s="180">
        <f>H10*3+I10</f>
        <v>0</v>
      </c>
      <c r="N10" s="180">
        <f t="shared" ref="N10:S10" si="25">SUM(N4:N9)</f>
        <v>0</v>
      </c>
      <c r="O10" s="180">
        <f t="shared" si="25"/>
        <v>0</v>
      </c>
      <c r="P10" s="180">
        <f t="shared" si="25"/>
        <v>0</v>
      </c>
      <c r="Q10" s="180">
        <f t="shared" si="25"/>
        <v>0</v>
      </c>
      <c r="R10" s="180">
        <f t="shared" si="25"/>
        <v>0</v>
      </c>
      <c r="S10" s="180">
        <f t="shared" si="25"/>
        <v>0</v>
      </c>
      <c r="T10" s="180">
        <f>O10*3+P10</f>
        <v>0</v>
      </c>
      <c r="U10" s="180">
        <f t="shared" ref="U10:Z10" si="26">SUM(U4:U9)</f>
        <v>0</v>
      </c>
      <c r="V10" s="180">
        <f t="shared" si="26"/>
        <v>0</v>
      </c>
      <c r="W10" s="180">
        <f t="shared" si="26"/>
        <v>0</v>
      </c>
      <c r="X10" s="180">
        <f t="shared" si="26"/>
        <v>0</v>
      </c>
      <c r="Y10" s="180">
        <f t="shared" si="26"/>
        <v>0</v>
      </c>
      <c r="Z10" s="180">
        <f t="shared" si="26"/>
        <v>0</v>
      </c>
      <c r="AA10" s="180">
        <f>V10*3+W10</f>
        <v>0</v>
      </c>
      <c r="AB10" s="180">
        <f t="shared" ref="AB10:AG10" si="27">SUM(AB4:AB9)</f>
        <v>0</v>
      </c>
      <c r="AC10" s="180">
        <f t="shared" si="27"/>
        <v>0</v>
      </c>
      <c r="AD10" s="180">
        <f t="shared" si="27"/>
        <v>0</v>
      </c>
      <c r="AE10" s="180">
        <f t="shared" si="27"/>
        <v>0</v>
      </c>
      <c r="AF10" s="180">
        <f t="shared" si="27"/>
        <v>0</v>
      </c>
      <c r="AG10" s="180">
        <f t="shared" si="27"/>
        <v>0</v>
      </c>
      <c r="AH10" s="180">
        <f>AC10*3+AD10</f>
        <v>0</v>
      </c>
    </row>
    <row r="14" spans="1:36" x14ac:dyDescent="0.2">
      <c r="F14" t="s">
        <v>154</v>
      </c>
    </row>
    <row r="15" spans="1:36" x14ac:dyDescent="0.2">
      <c r="G15" t="s">
        <v>148</v>
      </c>
      <c r="H15" t="s">
        <v>149</v>
      </c>
      <c r="I15" t="s">
        <v>150</v>
      </c>
      <c r="J15" t="s">
        <v>151</v>
      </c>
      <c r="K15" t="s">
        <v>152</v>
      </c>
      <c r="L15" t="s">
        <v>153</v>
      </c>
      <c r="M15" t="s">
        <v>155</v>
      </c>
      <c r="O15" t="s">
        <v>156</v>
      </c>
      <c r="S15" t="s">
        <v>157</v>
      </c>
      <c r="W15" t="s">
        <v>158</v>
      </c>
      <c r="AA15" t="s">
        <v>159</v>
      </c>
      <c r="AE15" t="s">
        <v>160</v>
      </c>
      <c r="AI15" t="s">
        <v>161</v>
      </c>
    </row>
    <row r="16" spans="1:36" x14ac:dyDescent="0.2">
      <c r="F16" t="str">
        <f>G2</f>
        <v>Argentina</v>
      </c>
      <c r="G16" s="180">
        <f t="shared" ref="G16:M16" si="28">G10</f>
        <v>0</v>
      </c>
      <c r="H16" s="180">
        <f t="shared" si="28"/>
        <v>0</v>
      </c>
      <c r="I16" s="180">
        <f t="shared" si="28"/>
        <v>0</v>
      </c>
      <c r="J16" s="180">
        <f t="shared" si="28"/>
        <v>0</v>
      </c>
      <c r="K16" s="180">
        <f t="shared" si="28"/>
        <v>0</v>
      </c>
      <c r="L16" s="180">
        <f t="shared" si="28"/>
        <v>0</v>
      </c>
      <c r="M16" s="180">
        <f t="shared" si="28"/>
        <v>0</v>
      </c>
      <c r="O16" t="str">
        <f>IF($M16&gt;=$M17,$F16,$F17)</f>
        <v>Argentina</v>
      </c>
      <c r="P16" s="180">
        <f>VLOOKUP(O16,$F$16:$M$25,8,FALSE)</f>
        <v>0</v>
      </c>
      <c r="S16" t="str">
        <f>IF($P16&gt;=$P18,$O16,$O18)</f>
        <v>Argentina</v>
      </c>
      <c r="T16" s="180">
        <f>VLOOKUP(S16,$O$16:$P$25,2,FALSE)</f>
        <v>0</v>
      </c>
      <c r="W16" t="str">
        <f>IF($T16&gt;=$T19,$S16,$S19)</f>
        <v>Argentina</v>
      </c>
      <c r="X16" s="180">
        <f>VLOOKUP(W16,$S$16:$T$25,2,FALSE)</f>
        <v>0</v>
      </c>
      <c r="AA16" t="str">
        <f>W16</f>
        <v>Argentina</v>
      </c>
      <c r="AB16" s="180">
        <f>VLOOKUP(AA16,W16:X25,2,FALSE)</f>
        <v>0</v>
      </c>
      <c r="AE16" t="str">
        <f>AA16</f>
        <v>Argentina</v>
      </c>
      <c r="AF16" s="180">
        <f>VLOOKUP(AE16,AA16:AB25,2,FALSE)</f>
        <v>0</v>
      </c>
      <c r="AI16" t="str">
        <f>AE16</f>
        <v>Argentina</v>
      </c>
      <c r="AJ16" s="180">
        <f>VLOOKUP(AI16,AE16:AF25,2,FALSE)</f>
        <v>0</v>
      </c>
    </row>
    <row r="17" spans="6:37" x14ac:dyDescent="0.2">
      <c r="F17" t="str">
        <f>N2</f>
        <v>Costa de Marfil</v>
      </c>
      <c r="G17" s="180">
        <f t="shared" ref="G17:M17" si="29">N10</f>
        <v>0</v>
      </c>
      <c r="H17" s="180">
        <f t="shared" si="29"/>
        <v>0</v>
      </c>
      <c r="I17" s="180">
        <f t="shared" si="29"/>
        <v>0</v>
      </c>
      <c r="J17" s="180">
        <f t="shared" si="29"/>
        <v>0</v>
      </c>
      <c r="K17" s="180">
        <f t="shared" si="29"/>
        <v>0</v>
      </c>
      <c r="L17" s="180">
        <f t="shared" si="29"/>
        <v>0</v>
      </c>
      <c r="M17" s="180">
        <f t="shared" si="29"/>
        <v>0</v>
      </c>
      <c r="O17" t="str">
        <f>IF($M17&lt;=$M16,$F17,$F16)</f>
        <v>Costa de Marfil</v>
      </c>
      <c r="P17" s="180">
        <f>VLOOKUP(O17,$F$16:$M$25,8,FALSE)</f>
        <v>0</v>
      </c>
      <c r="S17" t="str">
        <f>O17</f>
        <v>Costa de Marfil</v>
      </c>
      <c r="T17" s="180">
        <f>VLOOKUP(S17,$O$16:$P$25,2,FALSE)</f>
        <v>0</v>
      </c>
      <c r="W17" t="str">
        <f>S17</f>
        <v>Costa de Marfil</v>
      </c>
      <c r="X17" s="180">
        <f>VLOOKUP(W17,$S$16:$T$25,2,FALSE)</f>
        <v>0</v>
      </c>
      <c r="AA17" t="str">
        <f>IF(X17&gt;=X18,W17,W18)</f>
        <v>Costa de Marfil</v>
      </c>
      <c r="AB17" s="180">
        <f>VLOOKUP(AA17,W16:X25,2,FALSE)</f>
        <v>0</v>
      </c>
      <c r="AE17" t="str">
        <f>IF(AB17&gt;=AB19,AA17,AA19)</f>
        <v>Costa de Marfil</v>
      </c>
      <c r="AF17" s="180">
        <f>VLOOKUP(AE17,AA16:AB25,2,FALSE)</f>
        <v>0</v>
      </c>
      <c r="AI17" t="str">
        <f>AE17</f>
        <v>Costa de Marfil</v>
      </c>
      <c r="AJ17" s="180">
        <f>VLOOKUP(AI17,AE16:AF25,2,FALSE)</f>
        <v>0</v>
      </c>
    </row>
    <row r="18" spans="6:37" x14ac:dyDescent="0.2">
      <c r="F18" t="str">
        <f>U2</f>
        <v>Serbia y Montenegro</v>
      </c>
      <c r="G18" s="180">
        <f t="shared" ref="G18:M18" si="30">U10</f>
        <v>0</v>
      </c>
      <c r="H18" s="180">
        <f t="shared" si="30"/>
        <v>0</v>
      </c>
      <c r="I18" s="180">
        <f t="shared" si="30"/>
        <v>0</v>
      </c>
      <c r="J18" s="180">
        <f t="shared" si="30"/>
        <v>0</v>
      </c>
      <c r="K18" s="180">
        <f t="shared" si="30"/>
        <v>0</v>
      </c>
      <c r="L18" s="180">
        <f t="shared" si="30"/>
        <v>0</v>
      </c>
      <c r="M18" s="180">
        <f t="shared" si="30"/>
        <v>0</v>
      </c>
      <c r="O18" t="str">
        <f>F18</f>
        <v>Serbia y Montenegro</v>
      </c>
      <c r="P18" s="180">
        <f>VLOOKUP(O18,$F$16:$M$25,8,FALSE)</f>
        <v>0</v>
      </c>
      <c r="S18" t="str">
        <f>IF($P18&lt;=$P16,$O18,$O16)</f>
        <v>Serbia y Montenegro</v>
      </c>
      <c r="T18" s="180">
        <f>VLOOKUP(S18,$O$16:$P$25,2,FALSE)</f>
        <v>0</v>
      </c>
      <c r="W18" t="str">
        <f>S18</f>
        <v>Serbia y Montenegro</v>
      </c>
      <c r="X18" s="180">
        <f>VLOOKUP(W18,$S$16:$T$25,2,FALSE)</f>
        <v>0</v>
      </c>
      <c r="AA18" t="str">
        <f>IF(X18&lt;=X17,W18,W17)</f>
        <v>Serbia y Montenegro</v>
      </c>
      <c r="AB18" s="180">
        <f>VLOOKUP(AA18,W16:X25,2,FALSE)</f>
        <v>0</v>
      </c>
      <c r="AE18" t="str">
        <f>AA18</f>
        <v>Serbia y Montenegro</v>
      </c>
      <c r="AF18" s="180">
        <f>VLOOKUP(AE18,AA16:AB25,2,FALSE)</f>
        <v>0</v>
      </c>
      <c r="AI18" t="str">
        <f>IF(AF18&gt;=AF19,AE18,AE19)</f>
        <v>Serbia y Montenegro</v>
      </c>
      <c r="AJ18" s="180">
        <f>VLOOKUP(AI18,AE16:AF25,2,FALSE)</f>
        <v>0</v>
      </c>
    </row>
    <row r="19" spans="6:37" x14ac:dyDescent="0.2">
      <c r="F19" t="str">
        <f>AB2</f>
        <v>Holanda</v>
      </c>
      <c r="G19" s="180">
        <f t="shared" ref="G19:M19" si="31">AB10</f>
        <v>0</v>
      </c>
      <c r="H19" s="180">
        <f t="shared" si="31"/>
        <v>0</v>
      </c>
      <c r="I19" s="180">
        <f t="shared" si="31"/>
        <v>0</v>
      </c>
      <c r="J19" s="180">
        <f t="shared" si="31"/>
        <v>0</v>
      </c>
      <c r="K19" s="180">
        <f t="shared" si="31"/>
        <v>0</v>
      </c>
      <c r="L19" s="180">
        <f t="shared" si="31"/>
        <v>0</v>
      </c>
      <c r="M19" s="180">
        <f t="shared" si="31"/>
        <v>0</v>
      </c>
      <c r="O19" t="str">
        <f>F19</f>
        <v>Holanda</v>
      </c>
      <c r="P19" s="180">
        <f>VLOOKUP(O19,$F$16:$M$25,8,FALSE)</f>
        <v>0</v>
      </c>
      <c r="S19" t="str">
        <f>O19</f>
        <v>Holanda</v>
      </c>
      <c r="T19" s="180">
        <f>VLOOKUP(S19,$O$16:$P$25,2,FALSE)</f>
        <v>0</v>
      </c>
      <c r="W19" t="str">
        <f>IF($T19&lt;=$T16,$S19,$S16)</f>
        <v>Holanda</v>
      </c>
      <c r="X19" s="180">
        <f>VLOOKUP(W19,$S$16:$T$25,2,FALSE)</f>
        <v>0</v>
      </c>
      <c r="AA19" t="str">
        <f>W19</f>
        <v>Holanda</v>
      </c>
      <c r="AB19" s="180">
        <f>VLOOKUP(AA19,W16:X25,2,FALSE)</f>
        <v>0</v>
      </c>
      <c r="AE19" t="str">
        <f>IF(AB19&lt;=AB17,AA19,AA17)</f>
        <v>Holanda</v>
      </c>
      <c r="AF19" s="180">
        <f>VLOOKUP(AE19,AA16:AB25,2,FALSE)</f>
        <v>0</v>
      </c>
      <c r="AI19" t="str">
        <f>IF(AF19&lt;=AF18,AE19,AE18)</f>
        <v>Holanda</v>
      </c>
      <c r="AJ19" s="180">
        <f>VLOOKUP(AI19,AE16:AF25,2,FALSE)</f>
        <v>0</v>
      </c>
    </row>
    <row r="28" spans="6:37" x14ac:dyDescent="0.2">
      <c r="F28" t="str">
        <f>AI16</f>
        <v>Argentina</v>
      </c>
      <c r="J28" s="180">
        <f>AJ16</f>
        <v>0</v>
      </c>
      <c r="K28" s="180">
        <f>VLOOKUP(AI16,$F$16:$M$25,6,FALSE)</f>
        <v>0</v>
      </c>
      <c r="L28" s="180">
        <f>VLOOKUP(AI16,$F$16:$M$25,7,FALSE)</f>
        <v>0</v>
      </c>
      <c r="M28" s="180">
        <f>K28-L28</f>
        <v>0</v>
      </c>
      <c r="O28" t="str">
        <f>IF(AND($J28=$J29,$M29&gt;$M28),$F29,$F28)</f>
        <v>Argentina</v>
      </c>
      <c r="P28" s="180">
        <f>VLOOKUP(O28,$F$28:$M$37,5,FALSE)</f>
        <v>0</v>
      </c>
      <c r="Q28" s="180">
        <f>VLOOKUP(O28,$F$28:$M$37,8,FALSE)</f>
        <v>0</v>
      </c>
      <c r="S28" t="str">
        <f>IF(AND(P28=P30,Q30&gt;Q28),O30,O28)</f>
        <v>Argentina</v>
      </c>
      <c r="T28" s="180">
        <f>VLOOKUP(S28,$O$28:$Q$37,2,FALSE)</f>
        <v>0</v>
      </c>
      <c r="U28" s="180">
        <f>VLOOKUP(S28,$O$28:$Q$37,3,FALSE)</f>
        <v>0</v>
      </c>
      <c r="W28" t="str">
        <f>IF(AND(T28=T31,U31&gt;U28),S31,S28)</f>
        <v>Argentina</v>
      </c>
      <c r="X28" s="180">
        <f>VLOOKUP(W28,$S$28:$U$37,2,FALSE)</f>
        <v>0</v>
      </c>
      <c r="Y28" s="180">
        <f>VLOOKUP(W28,$S$28:$U$37,3,FALSE)</f>
        <v>0</v>
      </c>
      <c r="AA28" t="str">
        <f>W28</f>
        <v>Argentina</v>
      </c>
      <c r="AB28" s="180">
        <f>VLOOKUP(AA28,W28:Y37,2,FALSE)</f>
        <v>0</v>
      </c>
      <c r="AC28" s="180">
        <f>VLOOKUP(AA28,W28:Y37,3,FALSE)</f>
        <v>0</v>
      </c>
      <c r="AE28" t="str">
        <f>AA28</f>
        <v>Argentina</v>
      </c>
      <c r="AF28" s="180">
        <f>VLOOKUP(AE28,AA28:AC37,2,FALSE)</f>
        <v>0</v>
      </c>
      <c r="AG28" s="180">
        <f>VLOOKUP(AE28,AA28:AC37,3,FALSE)</f>
        <v>0</v>
      </c>
      <c r="AI28" t="str">
        <f>AE28</f>
        <v>Argentina</v>
      </c>
      <c r="AJ28" s="180">
        <f>VLOOKUP(AI28,AE28:AG37,2,FALSE)</f>
        <v>0</v>
      </c>
      <c r="AK28" s="180">
        <f>VLOOKUP(AI28,AE28:AG37,3,FALSE)</f>
        <v>0</v>
      </c>
    </row>
    <row r="29" spans="6:37" x14ac:dyDescent="0.2">
      <c r="F29" t="str">
        <f>AI17</f>
        <v>Costa de Marfil</v>
      </c>
      <c r="J29" s="180">
        <f>AJ17</f>
        <v>0</v>
      </c>
      <c r="K29" s="180">
        <f>VLOOKUP(AI17,$F$16:$M$25,6,FALSE)</f>
        <v>0</v>
      </c>
      <c r="L29" s="180">
        <f>VLOOKUP(AI17,$F$16:$M$25,7,FALSE)</f>
        <v>0</v>
      </c>
      <c r="M29" s="180">
        <f>K29-L29</f>
        <v>0</v>
      </c>
      <c r="O29" t="str">
        <f>IF(AND($J28=$J29,$M29&gt;$M28),$F28,$F29)</f>
        <v>Costa de Marfil</v>
      </c>
      <c r="P29" s="180">
        <f>VLOOKUP(O29,$F$28:$M$37,5,FALSE)</f>
        <v>0</v>
      </c>
      <c r="Q29" s="180">
        <f>VLOOKUP(O29,$F$28:$M$37,8,FALSE)</f>
        <v>0</v>
      </c>
      <c r="S29" t="str">
        <f>O29</f>
        <v>Costa de Marfil</v>
      </c>
      <c r="T29" s="180">
        <f>VLOOKUP(S29,$O$28:$Q$37,2,FALSE)</f>
        <v>0</v>
      </c>
      <c r="U29" s="180">
        <f>VLOOKUP(S29,$O$28:$Q$37,3,FALSE)</f>
        <v>0</v>
      </c>
      <c r="W29" t="str">
        <f>S29</f>
        <v>Costa de Marfil</v>
      </c>
      <c r="X29" s="180">
        <f>VLOOKUP(W29,$S$28:$U$37,2,FALSE)</f>
        <v>0</v>
      </c>
      <c r="Y29" s="180">
        <f>VLOOKUP(W29,$S$28:$U$37,3,FALSE)</f>
        <v>0</v>
      </c>
      <c r="AA29" t="str">
        <f>IF(AND(X29=X30,Y30&gt;Y29),W30,W29)</f>
        <v>Costa de Marfil</v>
      </c>
      <c r="AB29" s="180">
        <f>VLOOKUP(AA29,W28:Y37,2,FALSE)</f>
        <v>0</v>
      </c>
      <c r="AC29" s="180">
        <f>VLOOKUP(AA29,W28:Y37,3,FALSE)</f>
        <v>0</v>
      </c>
      <c r="AE29" t="str">
        <f>IF(AND(AB29=AB31,AC31&gt;AC29),AA31,AA29)</f>
        <v>Costa de Marfil</v>
      </c>
      <c r="AF29" s="180">
        <f>VLOOKUP(AE29,AA28:AC37,2,FALSE)</f>
        <v>0</v>
      </c>
      <c r="AG29" s="180">
        <f>VLOOKUP(AE29,AA28:AC37,3,FALSE)</f>
        <v>0</v>
      </c>
      <c r="AI29" t="str">
        <f>AE29</f>
        <v>Costa de Marfil</v>
      </c>
      <c r="AJ29" s="180">
        <f>VLOOKUP(AI29,AE28:AG37,2,FALSE)</f>
        <v>0</v>
      </c>
      <c r="AK29" s="180">
        <f>VLOOKUP(AI29,AE28:AG37,3,FALSE)</f>
        <v>0</v>
      </c>
    </row>
    <row r="30" spans="6:37" x14ac:dyDescent="0.2">
      <c r="F30" t="str">
        <f>AI18</f>
        <v>Serbia y Montenegro</v>
      </c>
      <c r="J30" s="180">
        <f>AJ18</f>
        <v>0</v>
      </c>
      <c r="K30" s="180">
        <f>VLOOKUP(AI18,$F$16:$M$25,6,FALSE)</f>
        <v>0</v>
      </c>
      <c r="L30" s="180">
        <f>VLOOKUP(AI18,$F$16:$M$25,7,FALSE)</f>
        <v>0</v>
      </c>
      <c r="M30" s="180">
        <f>K30-L30</f>
        <v>0</v>
      </c>
      <c r="O30" t="str">
        <f>F30</f>
        <v>Serbia y Montenegro</v>
      </c>
      <c r="P30" s="180">
        <f>VLOOKUP(O30,$F$28:$M$37,5,FALSE)</f>
        <v>0</v>
      </c>
      <c r="Q30" s="180">
        <f>VLOOKUP(O30,$F$28:$M$37,8,FALSE)</f>
        <v>0</v>
      </c>
      <c r="S30" t="str">
        <f>IF(AND($P28=P30,Q30&gt;Q28),O28,O30)</f>
        <v>Serbia y Montenegro</v>
      </c>
      <c r="T30" s="180">
        <f>VLOOKUP(S30,$O$28:$Q$37,2,FALSE)</f>
        <v>0</v>
      </c>
      <c r="U30" s="180">
        <f>VLOOKUP(S30,$O$28:$Q$37,3,FALSE)</f>
        <v>0</v>
      </c>
      <c r="W30" t="str">
        <f>S30</f>
        <v>Serbia y Montenegro</v>
      </c>
      <c r="X30" s="180">
        <f>VLOOKUP(W30,$S$28:$U$37,2,FALSE)</f>
        <v>0</v>
      </c>
      <c r="Y30" s="180">
        <f>VLOOKUP(W30,$S$28:$U$37,3,FALSE)</f>
        <v>0</v>
      </c>
      <c r="AA30" t="str">
        <f>IF(AND(X29=X30,Y30&gt;Y29),W29,W30)</f>
        <v>Serbia y Montenegro</v>
      </c>
      <c r="AB30" s="180">
        <f>VLOOKUP(AA30,W28:Y37,2,FALSE)</f>
        <v>0</v>
      </c>
      <c r="AC30" s="180">
        <f>VLOOKUP(AA30,W28:Y37,3,FALSE)</f>
        <v>0</v>
      </c>
      <c r="AE30" t="str">
        <f>AA30</f>
        <v>Serbia y Montenegro</v>
      </c>
      <c r="AF30" s="180">
        <f>VLOOKUP(AE30,AA28:AC37,2,FALSE)</f>
        <v>0</v>
      </c>
      <c r="AG30" s="180">
        <f>VLOOKUP(AE30,AA28:AC37,3,FALSE)</f>
        <v>0</v>
      </c>
      <c r="AI30" t="str">
        <f>IF(AND(AF30=AF31,AG31&gt;AG30),AE31,AE30)</f>
        <v>Serbia y Montenegro</v>
      </c>
      <c r="AJ30" s="180">
        <f>VLOOKUP(AI30,AE28:AG37,2,FALSE)</f>
        <v>0</v>
      </c>
      <c r="AK30" s="180">
        <f>VLOOKUP(AI30,AE28:AG37,3,FALSE)</f>
        <v>0</v>
      </c>
    </row>
    <row r="31" spans="6:37" x14ac:dyDescent="0.2">
      <c r="F31" t="str">
        <f>AI19</f>
        <v>Holanda</v>
      </c>
      <c r="J31" s="180">
        <f>AJ19</f>
        <v>0</v>
      </c>
      <c r="K31" s="180">
        <f>VLOOKUP(AI19,$F$16:$M$25,6,FALSE)</f>
        <v>0</v>
      </c>
      <c r="L31" s="180">
        <f>VLOOKUP(AI19,$F$16:$M$25,7,FALSE)</f>
        <v>0</v>
      </c>
      <c r="M31" s="180">
        <f>K31-L31</f>
        <v>0</v>
      </c>
      <c r="O31" t="str">
        <f>F31</f>
        <v>Holanda</v>
      </c>
      <c r="P31" s="180">
        <f>VLOOKUP(O31,$F$28:$M$37,5,FALSE)</f>
        <v>0</v>
      </c>
      <c r="Q31" s="180">
        <f>VLOOKUP(O31,$F$28:$M$37,8,FALSE)</f>
        <v>0</v>
      </c>
      <c r="S31" t="str">
        <f>O31</f>
        <v>Holanda</v>
      </c>
      <c r="T31" s="180">
        <f>VLOOKUP(S31,$O$28:$Q$37,2,FALSE)</f>
        <v>0</v>
      </c>
      <c r="U31" s="180">
        <f>VLOOKUP(S31,$O$28:$Q$37,3,FALSE)</f>
        <v>0</v>
      </c>
      <c r="W31" t="str">
        <f>IF(AND(T28=T31,U31&gt;U28),S28,S31)</f>
        <v>Holanda</v>
      </c>
      <c r="X31" s="180">
        <f>VLOOKUP(W31,$S$28:$U$37,2,FALSE)</f>
        <v>0</v>
      </c>
      <c r="Y31" s="180">
        <f>VLOOKUP(W31,$S$28:$U$37,3,FALSE)</f>
        <v>0</v>
      </c>
      <c r="AA31" t="str">
        <f>W31</f>
        <v>Holanda</v>
      </c>
      <c r="AB31" s="180">
        <f>VLOOKUP(AA31,W28:Y37,2,FALSE)</f>
        <v>0</v>
      </c>
      <c r="AC31" s="180">
        <f>VLOOKUP(AA31,W28:Y37,3,FALSE)</f>
        <v>0</v>
      </c>
      <c r="AE31" t="str">
        <f>IF(AND(AB29=AB31,AC31&gt;AC29),AA29,AA31)</f>
        <v>Holanda</v>
      </c>
      <c r="AF31" s="180">
        <f>VLOOKUP(AE31,AA28:AC37,2,FALSE)</f>
        <v>0</v>
      </c>
      <c r="AG31" s="180">
        <f>VLOOKUP(AE31,AA28:AC37,3,FALSE)</f>
        <v>0</v>
      </c>
      <c r="AI31" t="str">
        <f>IF(AND(AF30=AF31,AG31&gt;AG30),AE30,AE31)</f>
        <v>Holanda</v>
      </c>
      <c r="AJ31" s="180">
        <f>VLOOKUP(AI31,AE28:AG37,2,FALSE)</f>
        <v>0</v>
      </c>
      <c r="AK31" s="180">
        <f>VLOOKUP(AI31,AE28:AG37,3,FALSE)</f>
        <v>0</v>
      </c>
    </row>
    <row r="40" spans="6:38" x14ac:dyDescent="0.2">
      <c r="F40" t="str">
        <f>AI28</f>
        <v>Argentina</v>
      </c>
      <c r="J40" s="180">
        <f>VLOOKUP(F40,$F$16:$M$25,8,FALSE)</f>
        <v>0</v>
      </c>
      <c r="K40" s="180">
        <f>VLOOKUP(F40,$F$16:$M$25,6,FALSE)</f>
        <v>0</v>
      </c>
      <c r="L40" s="180">
        <f>VLOOKUP(F40,$F$16:$M$25,7,FALSE)</f>
        <v>0</v>
      </c>
      <c r="M40" s="180">
        <f>K40-L40</f>
        <v>0</v>
      </c>
      <c r="O40" t="str">
        <f>IF(AND(J40=J41,M40=M41,K41&gt;K40),F41,F40)</f>
        <v>Argentina</v>
      </c>
      <c r="P40" s="180">
        <f>VLOOKUP(O40,$F$40:$M$49,5,FALSE)</f>
        <v>0</v>
      </c>
      <c r="Q40" s="180">
        <f>VLOOKUP(O40,$F$40:$M$49,8,FALSE)</f>
        <v>0</v>
      </c>
      <c r="R40" s="180">
        <f>VLOOKUP(O40,$F$40:$M$49,6,FALSE)</f>
        <v>0</v>
      </c>
      <c r="S40" t="str">
        <f>IF(AND(P40=P42,Q40=Q42,R42&gt;R40),O42,O40)</f>
        <v>Argentina</v>
      </c>
      <c r="T40" s="180">
        <f>VLOOKUP(S40,$O$40:$R$49,2,FALSE)</f>
        <v>0</v>
      </c>
      <c r="U40" s="180">
        <f>VLOOKUP(S40,$O$40:$R$49,3,FALSE)</f>
        <v>0</v>
      </c>
      <c r="V40" s="180">
        <f>VLOOKUP(S40,$O$40:$R$49,4,FALSE)</f>
        <v>0</v>
      </c>
      <c r="W40" t="str">
        <f>IF(AND(T40=T43,U40=U43,V43&gt;V40),S43,S40)</f>
        <v>Argentina</v>
      </c>
      <c r="X40" s="180">
        <f>VLOOKUP(W40,$S$40:$V$49,2,FALSE)</f>
        <v>0</v>
      </c>
      <c r="Y40" s="180">
        <f>VLOOKUP(W40,$S$40:$V$49,3,FALSE)</f>
        <v>0</v>
      </c>
      <c r="Z40" s="180">
        <f>VLOOKUP(W40,$S$40:$V$49,4,FALSE)</f>
        <v>0</v>
      </c>
      <c r="AA40" t="str">
        <f>W40</f>
        <v>Argentina</v>
      </c>
      <c r="AB40" s="180">
        <f>VLOOKUP(AA40,W40:Z49,2,FALSE)</f>
        <v>0</v>
      </c>
      <c r="AC40" s="180">
        <f>VLOOKUP(AA40,W40:Z49,3,FALSE)</f>
        <v>0</v>
      </c>
      <c r="AD40" s="180">
        <f>VLOOKUP(AA40,W40:Z49,4,FALSE)</f>
        <v>0</v>
      </c>
      <c r="AE40" t="str">
        <f>AA40</f>
        <v>Argentina</v>
      </c>
      <c r="AF40" s="180">
        <f>VLOOKUP(AE40,AA40:AD49,2,FALSE)</f>
        <v>0</v>
      </c>
      <c r="AG40" s="180">
        <f>VLOOKUP(AE40,AA40:AD49,3,FALSE)</f>
        <v>0</v>
      </c>
      <c r="AH40" s="180">
        <f>VLOOKUP(AE40,AA40:AD49,4,FALSE)</f>
        <v>0</v>
      </c>
      <c r="AI40" t="str">
        <f>AE40</f>
        <v>Argentina</v>
      </c>
      <c r="AJ40" s="180">
        <f>VLOOKUP(AI40,AE40:AH49,2,FALSE)</f>
        <v>0</v>
      </c>
      <c r="AK40" s="180">
        <f>VLOOKUP(AI40,AE40:AH49,3,FALSE)</f>
        <v>0</v>
      </c>
      <c r="AL40" s="180">
        <f>VLOOKUP(AI40,AE40:AH49,4,FALSE)</f>
        <v>0</v>
      </c>
    </row>
    <row r="41" spans="6:38" x14ac:dyDescent="0.2">
      <c r="F41" t="str">
        <f>AI29</f>
        <v>Costa de Marfil</v>
      </c>
      <c r="J41" s="180">
        <f>VLOOKUP(F41,$F$16:$M$25,8,FALSE)</f>
        <v>0</v>
      </c>
      <c r="K41" s="180">
        <f>VLOOKUP(F41,$F$16:$M$25,6,FALSE)</f>
        <v>0</v>
      </c>
      <c r="L41" s="180">
        <f>VLOOKUP(F41,$F$16:$M$25,7,FALSE)</f>
        <v>0</v>
      </c>
      <c r="M41" s="180">
        <f>K41-L41</f>
        <v>0</v>
      </c>
      <c r="O41" t="str">
        <f>IF(AND(J40=J41,M40=M41,K41&gt;K40),F40,F41)</f>
        <v>Costa de Marfil</v>
      </c>
      <c r="P41" s="180">
        <f>VLOOKUP(O41,$F$40:$M$49,5,FALSE)</f>
        <v>0</v>
      </c>
      <c r="Q41" s="180">
        <f>VLOOKUP(O41,$F$40:$M$49,8,FALSE)</f>
        <v>0</v>
      </c>
      <c r="R41" s="180">
        <f>VLOOKUP(O41,$F$40:$M$49,6,FALSE)</f>
        <v>0</v>
      </c>
      <c r="S41" t="str">
        <f>O41</f>
        <v>Costa de Marfil</v>
      </c>
      <c r="T41" s="180">
        <f>VLOOKUP(S41,$O$40:$R$49,2,FALSE)</f>
        <v>0</v>
      </c>
      <c r="U41" s="180">
        <f>VLOOKUP(S41,$O$40:$R$49,3,FALSE)</f>
        <v>0</v>
      </c>
      <c r="V41" s="180">
        <f>VLOOKUP(S41,$O$40:$R$49,4,FALSE)</f>
        <v>0</v>
      </c>
      <c r="W41" t="str">
        <f>S41</f>
        <v>Costa de Marfil</v>
      </c>
      <c r="X41" s="180">
        <f>VLOOKUP(W41,$S$40:$V$49,2,FALSE)</f>
        <v>0</v>
      </c>
      <c r="Y41" s="180">
        <f>VLOOKUP(W41,$S$40:$V$49,3,FALSE)</f>
        <v>0</v>
      </c>
      <c r="Z41" s="180">
        <f>VLOOKUP(W41,$S$40:$V$49,4,FALSE)</f>
        <v>0</v>
      </c>
      <c r="AA41" t="str">
        <f>IF(AND(X41=X42,Y41=Y42,Z42&gt;Z41),W42,W41)</f>
        <v>Costa de Marfil</v>
      </c>
      <c r="AB41" s="180">
        <f>VLOOKUP(AA41,W40:Z49,2,FALSE)</f>
        <v>0</v>
      </c>
      <c r="AC41" s="180">
        <f>VLOOKUP(AA41,W40:Z49,3,FALSE)</f>
        <v>0</v>
      </c>
      <c r="AD41" s="180">
        <f>VLOOKUP(AA41,W40:Z49,4,FALSE)</f>
        <v>0</v>
      </c>
      <c r="AE41" t="str">
        <f>IF(AND(AB41=AB43,AC41=AC43,AD43&gt;AD41),AA43,AA41)</f>
        <v>Costa de Marfil</v>
      </c>
      <c r="AF41" s="180">
        <f>VLOOKUP(AE41,AA40:AD49,2,FALSE)</f>
        <v>0</v>
      </c>
      <c r="AG41" s="180">
        <f>VLOOKUP(AE41,AA40:AD49,3,FALSE)</f>
        <v>0</v>
      </c>
      <c r="AH41" s="180">
        <f>VLOOKUP(AE41,AA40:AD49,4,FALSE)</f>
        <v>0</v>
      </c>
      <c r="AI41" t="str">
        <f>AE41</f>
        <v>Costa de Marfil</v>
      </c>
      <c r="AJ41" s="180">
        <f>VLOOKUP(AI41,AE40:AH49,2,FALSE)</f>
        <v>0</v>
      </c>
      <c r="AK41" s="180">
        <f>VLOOKUP(AI41,AE40:AH49,3,FALSE)</f>
        <v>0</v>
      </c>
      <c r="AL41" s="180">
        <f>VLOOKUP(AI41,AE40:AH49,4,FALSE)</f>
        <v>0</v>
      </c>
    </row>
    <row r="42" spans="6:38" x14ac:dyDescent="0.2">
      <c r="F42" t="str">
        <f>AI30</f>
        <v>Serbia y Montenegro</v>
      </c>
      <c r="J42" s="180">
        <f>VLOOKUP(F42,$F$16:$M$25,8,FALSE)</f>
        <v>0</v>
      </c>
      <c r="K42" s="180">
        <f>VLOOKUP(F42,$F$16:$M$25,6,FALSE)</f>
        <v>0</v>
      </c>
      <c r="L42" s="180">
        <f>VLOOKUP(F42,$F$16:$M$25,7,FALSE)</f>
        <v>0</v>
      </c>
      <c r="M42" s="180">
        <f>K42-L42</f>
        <v>0</v>
      </c>
      <c r="O42" t="str">
        <f>F42</f>
        <v>Serbia y Montenegro</v>
      </c>
      <c r="P42" s="180">
        <f>VLOOKUP(O42,$F$40:$M$49,5,FALSE)</f>
        <v>0</v>
      </c>
      <c r="Q42" s="180">
        <f>VLOOKUP(O42,$F$40:$M$49,8,FALSE)</f>
        <v>0</v>
      </c>
      <c r="R42" s="180">
        <f>VLOOKUP(O42,$F$40:$M$49,6,FALSE)</f>
        <v>0</v>
      </c>
      <c r="S42" t="str">
        <f>IF(AND(P40=P42,Q40=Q42,R42&gt;R40),O40,O42)</f>
        <v>Serbia y Montenegro</v>
      </c>
      <c r="T42" s="180">
        <f>VLOOKUP(S42,$O$40:$R$49,2,FALSE)</f>
        <v>0</v>
      </c>
      <c r="U42" s="180">
        <f>VLOOKUP(S42,$O$40:$R$49,3,FALSE)</f>
        <v>0</v>
      </c>
      <c r="V42" s="180">
        <f>VLOOKUP(S42,$O$40:$R$49,4,FALSE)</f>
        <v>0</v>
      </c>
      <c r="W42" t="str">
        <f>S42</f>
        <v>Serbia y Montenegro</v>
      </c>
      <c r="X42" s="180">
        <f>VLOOKUP(W42,$S$40:$V$49,2,FALSE)</f>
        <v>0</v>
      </c>
      <c r="Y42" s="180">
        <f>VLOOKUP(W42,$S$40:$V$49,3,FALSE)</f>
        <v>0</v>
      </c>
      <c r="Z42" s="180">
        <f>VLOOKUP(W42,$S$40:$V$49,4,FALSE)</f>
        <v>0</v>
      </c>
      <c r="AA42" t="str">
        <f>IF(AND(X41=X42,Y41=Y42,Z42&gt;Z41),W41,W42)</f>
        <v>Serbia y Montenegro</v>
      </c>
      <c r="AB42" s="180">
        <f>VLOOKUP(AA42,W40:Z49,2,FALSE)</f>
        <v>0</v>
      </c>
      <c r="AC42" s="180">
        <f>VLOOKUP(AA42,W40:Z49,3,FALSE)</f>
        <v>0</v>
      </c>
      <c r="AD42" s="180">
        <f>VLOOKUP(AA42,W40:Z49,4,FALSE)</f>
        <v>0</v>
      </c>
      <c r="AE42" t="str">
        <f>AA42</f>
        <v>Serbia y Montenegro</v>
      </c>
      <c r="AF42" s="180">
        <f>VLOOKUP(AE42,AA40:AD49,2,FALSE)</f>
        <v>0</v>
      </c>
      <c r="AG42" s="180">
        <f>VLOOKUP(AE42,AA40:AD49,3,FALSE)</f>
        <v>0</v>
      </c>
      <c r="AH42" s="180">
        <f>VLOOKUP(AE42,AA40:AD49,4,FALSE)</f>
        <v>0</v>
      </c>
      <c r="AI42" t="str">
        <f>IF(AND(AF42=AF43,AG42=AG43,AH43&gt;AH42),AE43,AE42)</f>
        <v>Serbia y Montenegro</v>
      </c>
      <c r="AJ42" s="180">
        <f>VLOOKUP(AI42,AE40:AH49,2,FALSE)</f>
        <v>0</v>
      </c>
      <c r="AK42" s="180">
        <f>VLOOKUP(AI42,AE40:AH49,3,FALSE)</f>
        <v>0</v>
      </c>
      <c r="AL42" s="180">
        <f>VLOOKUP(AI42,AE40:AH49,4,FALSE)</f>
        <v>0</v>
      </c>
    </row>
    <row r="43" spans="6:38" x14ac:dyDescent="0.2">
      <c r="F43" t="str">
        <f>AI31</f>
        <v>Holanda</v>
      </c>
      <c r="J43" s="180">
        <f>VLOOKUP(F43,$F$16:$M$25,8,FALSE)</f>
        <v>0</v>
      </c>
      <c r="K43" s="180">
        <f>VLOOKUP(F43,$F$16:$M$25,6,FALSE)</f>
        <v>0</v>
      </c>
      <c r="L43" s="180">
        <f>VLOOKUP(F43,$F$16:$M$25,7,FALSE)</f>
        <v>0</v>
      </c>
      <c r="M43" s="180">
        <f>K43-L43</f>
        <v>0</v>
      </c>
      <c r="O43" t="str">
        <f>F43</f>
        <v>Holanda</v>
      </c>
      <c r="P43" s="180">
        <f>VLOOKUP(O43,$F$40:$M$49,5,FALSE)</f>
        <v>0</v>
      </c>
      <c r="Q43" s="180">
        <f>VLOOKUP(O43,$F$40:$M$49,8,FALSE)</f>
        <v>0</v>
      </c>
      <c r="R43" s="180">
        <f>VLOOKUP(O43,$F$40:$M$49,6,FALSE)</f>
        <v>0</v>
      </c>
      <c r="S43" t="str">
        <f>O43</f>
        <v>Holanda</v>
      </c>
      <c r="T43" s="180">
        <f>VLOOKUP(S43,$O$40:$R$49,2,FALSE)</f>
        <v>0</v>
      </c>
      <c r="U43" s="180">
        <f>VLOOKUP(S43,$O$40:$R$49,3,FALSE)</f>
        <v>0</v>
      </c>
      <c r="V43" s="180">
        <f>VLOOKUP(S43,$O$40:$R$49,4,FALSE)</f>
        <v>0</v>
      </c>
      <c r="W43" t="str">
        <f>IF(AND(T40=T43,U40=U43,V43&gt;V40),S40,S43)</f>
        <v>Holanda</v>
      </c>
      <c r="X43" s="180">
        <f>VLOOKUP(W43,$S$40:$V$49,2,FALSE)</f>
        <v>0</v>
      </c>
      <c r="Y43" s="180">
        <f>VLOOKUP(W43,$S$40:$V$49,3,FALSE)</f>
        <v>0</v>
      </c>
      <c r="Z43" s="180">
        <f>VLOOKUP(W43,$S$40:$V$49,4,FALSE)</f>
        <v>0</v>
      </c>
      <c r="AA43" t="str">
        <f>W43</f>
        <v>Holanda</v>
      </c>
      <c r="AB43" s="180">
        <f>VLOOKUP(AA43,W40:Z49,2,FALSE)</f>
        <v>0</v>
      </c>
      <c r="AC43" s="180">
        <f>VLOOKUP(AA43,W40:Z49,3,FALSE)</f>
        <v>0</v>
      </c>
      <c r="AD43" s="180">
        <f>VLOOKUP(AA43,W40:Z49,4,FALSE)</f>
        <v>0</v>
      </c>
      <c r="AE43" t="str">
        <f>IF(AND(AB41=AB43,AC41=AC43,AD43&gt;AD41),AA41,AA43)</f>
        <v>Holanda</v>
      </c>
      <c r="AF43" s="180">
        <f>VLOOKUP(AE43,AA40:AD49,2,FALSE)</f>
        <v>0</v>
      </c>
      <c r="AG43" s="180">
        <f>VLOOKUP(AE43,AA40:AD49,3,FALSE)</f>
        <v>0</v>
      </c>
      <c r="AH43" s="180">
        <f>VLOOKUP(AE43,AA40:AD49,4,FALSE)</f>
        <v>0</v>
      </c>
      <c r="AI43" t="str">
        <f>IF(AND(AF42=AF43,AG42=AG43,AH43&gt;AH42),AE42,AE43)</f>
        <v>Holanda</v>
      </c>
      <c r="AJ43" s="180">
        <f>VLOOKUP(AI43,AE40:AH49,2,FALSE)</f>
        <v>0</v>
      </c>
      <c r="AK43" s="180">
        <f>VLOOKUP(AI43,AE40:AH49,3,FALSE)</f>
        <v>0</v>
      </c>
      <c r="AL43" s="180">
        <f>VLOOKUP(AI43,AE40:AH49,4,FALSE)</f>
        <v>0</v>
      </c>
    </row>
    <row r="51" spans="6:13" x14ac:dyDescent="0.2">
      <c r="F51" t="s">
        <v>162</v>
      </c>
    </row>
    <row r="52" spans="6:13" x14ac:dyDescent="0.2">
      <c r="F52" t="str">
        <f>AI40</f>
        <v>Argentina</v>
      </c>
      <c r="G52" s="180">
        <f>VLOOKUP(F52,$F$16:$M$25,2,FALSE)</f>
        <v>0</v>
      </c>
      <c r="H52" s="180">
        <f>VLOOKUP(F52,$F$16:$M$25,3,FALSE)</f>
        <v>0</v>
      </c>
      <c r="I52" s="180">
        <f>VLOOKUP(F52,$F$16:$M$25,4,FALSE)</f>
        <v>0</v>
      </c>
      <c r="J52" s="180">
        <f>VLOOKUP(F52,$F$16:$M$25,5,FALSE)</f>
        <v>0</v>
      </c>
      <c r="K52" s="180">
        <f>VLOOKUP(F52,$F$16:$M$25,6,FALSE)</f>
        <v>0</v>
      </c>
      <c r="L52" s="180">
        <f>VLOOKUP(F52,$F$16:$M$25,7,FALSE)</f>
        <v>0</v>
      </c>
      <c r="M52" s="180">
        <f>VLOOKUP(F52,$F$16:$M$25,8,FALSE)</f>
        <v>0</v>
      </c>
    </row>
    <row r="53" spans="6:13" x14ac:dyDescent="0.2">
      <c r="F53" t="str">
        <f>AI41</f>
        <v>Costa de Marfil</v>
      </c>
      <c r="G53" s="180">
        <f>VLOOKUP(F53,$F$16:$M$25,2,FALSE)</f>
        <v>0</v>
      </c>
      <c r="H53" s="180">
        <f>VLOOKUP(F53,$F$16:$M$25,3,FALSE)</f>
        <v>0</v>
      </c>
      <c r="I53" s="180">
        <f>VLOOKUP(F53,$F$16:$M$25,4,FALSE)</f>
        <v>0</v>
      </c>
      <c r="J53" s="180">
        <f>VLOOKUP(F53,$F$16:$M$25,5,FALSE)</f>
        <v>0</v>
      </c>
      <c r="K53" s="180">
        <f>VLOOKUP(F53,$F$16:$M$25,6,FALSE)</f>
        <v>0</v>
      </c>
      <c r="L53" s="180">
        <f>VLOOKUP(F53,$F$16:$M$25,7,FALSE)</f>
        <v>0</v>
      </c>
      <c r="M53" s="180">
        <f>VLOOKUP(F53,$F$16:$M$25,8,FALSE)</f>
        <v>0</v>
      </c>
    </row>
    <row r="54" spans="6:13" x14ac:dyDescent="0.2">
      <c r="F54" t="str">
        <f>AI42</f>
        <v>Serbia y Montenegro</v>
      </c>
      <c r="G54" s="180">
        <f>VLOOKUP(F54,$F$16:$M$25,2,FALSE)</f>
        <v>0</v>
      </c>
      <c r="H54" s="180">
        <f>VLOOKUP(F54,$F$16:$M$25,3,FALSE)</f>
        <v>0</v>
      </c>
      <c r="I54" s="180">
        <f>VLOOKUP(F54,$F$16:$M$25,4,FALSE)</f>
        <v>0</v>
      </c>
      <c r="J54" s="180">
        <f>VLOOKUP(F54,$F$16:$M$25,5,FALSE)</f>
        <v>0</v>
      </c>
      <c r="K54" s="180">
        <f>VLOOKUP(F54,$F$16:$M$25,6,FALSE)</f>
        <v>0</v>
      </c>
      <c r="L54" s="180">
        <f>VLOOKUP(F54,$F$16:$M$25,7,FALSE)</f>
        <v>0</v>
      </c>
      <c r="M54" s="180">
        <f>VLOOKUP(F54,$F$16:$M$25,8,FALSE)</f>
        <v>0</v>
      </c>
    </row>
    <row r="55" spans="6:13" x14ac:dyDescent="0.2">
      <c r="F55" t="str">
        <f>AI43</f>
        <v>Holanda</v>
      </c>
      <c r="G55" s="180">
        <f>VLOOKUP(F55,$F$16:$M$25,2,FALSE)</f>
        <v>0</v>
      </c>
      <c r="H55" s="180">
        <f>VLOOKUP(F55,$F$16:$M$25,3,FALSE)</f>
        <v>0</v>
      </c>
      <c r="I55" s="180">
        <f>VLOOKUP(F55,$F$16:$M$25,4,FALSE)</f>
        <v>0</v>
      </c>
      <c r="J55" s="180">
        <f>VLOOKUP(F55,$F$16:$M$25,5,FALSE)</f>
        <v>0</v>
      </c>
      <c r="K55" s="180">
        <f>VLOOKUP(F55,$F$16:$M$25,6,FALSE)</f>
        <v>0</v>
      </c>
      <c r="L55" s="180">
        <f>VLOOKUP(F55,$F$16:$M$25,7,FALSE)</f>
        <v>0</v>
      </c>
      <c r="M55" s="180">
        <f>VLOOKUP(F55,$F$16:$M$25,8,FALSE)</f>
        <v>0</v>
      </c>
    </row>
  </sheetData>
  <mergeCells count="1">
    <mergeCell ref="A2:E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55"/>
  <sheetViews>
    <sheetView showGridLines="0" showRowColHeaders="0" showOutlineSymbols="0" topLeftCell="A11" workbookViewId="0">
      <pane xSplit="5" topLeftCell="T1" activePane="topRight" state="frozen"/>
      <selection activeCell="A11" sqref="A11"/>
      <selection pane="topRight" activeCell="AB16" sqref="AB16"/>
    </sheetView>
  </sheetViews>
  <sheetFormatPr baseColWidth="10" defaultColWidth="3.7109375" defaultRowHeight="12.75" x14ac:dyDescent="0.2"/>
  <cols>
    <col min="1" max="1" width="9.140625" customWidth="1"/>
    <col min="2" max="2" width="2.7109375" customWidth="1"/>
    <col min="3" max="3" width="1.5703125" customWidth="1"/>
    <col min="4" max="4" width="2.7109375" customWidth="1"/>
    <col min="5" max="5" width="9.140625" customWidth="1"/>
    <col min="6" max="6" width="10.85546875" customWidth="1"/>
  </cols>
  <sheetData>
    <row r="2" spans="1:36" x14ac:dyDescent="0.2">
      <c r="A2" s="219" t="s">
        <v>146</v>
      </c>
      <c r="B2" s="219"/>
      <c r="C2" s="219"/>
      <c r="D2" s="219"/>
      <c r="E2" s="219"/>
      <c r="G2" t="str">
        <f>'Grupo A'!Q7</f>
        <v>Alemania</v>
      </c>
      <c r="N2" t="str">
        <f>'Grupo A'!Q9</f>
        <v>Costa Rica</v>
      </c>
      <c r="U2" t="str">
        <f>'Grupo A'!Q11</f>
        <v>Polonia</v>
      </c>
      <c r="AB2" t="str">
        <f>'Grupo A'!Q13</f>
        <v>Ecuador</v>
      </c>
    </row>
    <row r="3" spans="1:36" x14ac:dyDescent="0.2">
      <c r="F3" t="s">
        <v>147</v>
      </c>
      <c r="G3" t="s">
        <v>148</v>
      </c>
      <c r="H3" t="s">
        <v>149</v>
      </c>
      <c r="I3" t="s">
        <v>150</v>
      </c>
      <c r="J3" t="s">
        <v>151</v>
      </c>
      <c r="K3" t="s">
        <v>152</v>
      </c>
      <c r="L3" t="s">
        <v>153</v>
      </c>
      <c r="N3" t="s">
        <v>148</v>
      </c>
      <c r="O3" t="s">
        <v>149</v>
      </c>
      <c r="P3" t="s">
        <v>150</v>
      </c>
      <c r="Q3" t="s">
        <v>151</v>
      </c>
      <c r="R3" t="s">
        <v>152</v>
      </c>
      <c r="S3" t="s">
        <v>153</v>
      </c>
      <c r="U3" t="s">
        <v>148</v>
      </c>
      <c r="V3" t="s">
        <v>149</v>
      </c>
      <c r="W3" t="s">
        <v>150</v>
      </c>
      <c r="X3" t="s">
        <v>151</v>
      </c>
      <c r="Y3" t="s">
        <v>152</v>
      </c>
      <c r="Z3" t="s">
        <v>153</v>
      </c>
      <c r="AB3" t="s">
        <v>148</v>
      </c>
      <c r="AC3" t="s">
        <v>149</v>
      </c>
      <c r="AD3" t="s">
        <v>150</v>
      </c>
      <c r="AE3" t="s">
        <v>151</v>
      </c>
      <c r="AF3" t="s">
        <v>152</v>
      </c>
      <c r="AG3" t="s">
        <v>153</v>
      </c>
    </row>
    <row r="4" spans="1:36" x14ac:dyDescent="0.2">
      <c r="A4" s="177" t="str">
        <f>'Grupo A'!B6</f>
        <v>Alemania</v>
      </c>
      <c r="B4" s="178">
        <f>'Grupo A'!C6</f>
        <v>0</v>
      </c>
      <c r="C4" s="178" t="str">
        <f>'Grupo A'!D6</f>
        <v>-</v>
      </c>
      <c r="D4" s="178">
        <f>'Grupo A'!E6</f>
        <v>0</v>
      </c>
      <c r="E4" s="179" t="str">
        <f>'Grupo A'!F6</f>
        <v>Costa Rica</v>
      </c>
      <c r="F4" s="178">
        <f>COUNTBLANK('Grupo A'!C6:E6)</f>
        <v>2</v>
      </c>
      <c r="G4" s="180">
        <f t="shared" ref="G4:G9" si="0">IF(AND(F4=0,OR($A4=$G$2,$E4=$G$2)),1,0)</f>
        <v>0</v>
      </c>
      <c r="H4" s="180">
        <f t="shared" ref="H4:H9" si="1">IF(AND(F4=0,OR(AND($A4=$G$2,$B4&gt;$D4),AND($E4=$G$2,$D4&gt;$B4))),1,0)</f>
        <v>0</v>
      </c>
      <c r="I4" s="180">
        <f t="shared" ref="I4:I9" si="2">IF(AND(F4=0,G4=1,$B4=$D4),1,0)</f>
        <v>0</v>
      </c>
      <c r="J4" s="180">
        <f t="shared" ref="J4:J9" si="3">IF(AND(F4=0,OR(AND($A4=$G$2,$B4&lt;$D4),AND($E4=$G$2,$D4&lt;$B4))),1,0)</f>
        <v>0</v>
      </c>
      <c r="K4" s="180">
        <f t="shared" ref="K4:K9" si="4">IF(F4&gt;0,0,IF($A4=$G$2,$B4,IF($E4=$G$2,$D4,0)))</f>
        <v>0</v>
      </c>
      <c r="L4" s="180">
        <f t="shared" ref="L4:L9" si="5">IF(F4&gt;0,0,IF($A4=$G$2,$D4,IF($E4=$G$2,$B4,0)))</f>
        <v>0</v>
      </c>
      <c r="N4" s="180">
        <f t="shared" ref="N4:N9" si="6">IF(AND(F4=0,OR($A4=$N$2,$E4=$N$2)),1,0)</f>
        <v>0</v>
      </c>
      <c r="O4" s="180">
        <f t="shared" ref="O4:O9" si="7">IF(AND(F4=0,OR(AND($A4=$N$2,$B4&gt;$D4),AND($E4=$N$2,$D4&gt;$B4))),1,0)</f>
        <v>0</v>
      </c>
      <c r="P4" s="180">
        <f t="shared" ref="P4:P9" si="8">IF(AND(F4=0,N4=1,$B4=$D4),1,0)</f>
        <v>0</v>
      </c>
      <c r="Q4" s="180">
        <f t="shared" ref="Q4:Q9" si="9">IF(AND(F4=0,OR(AND($A4=$N$2,$B4&lt;$D4),AND($E4=$N$2,$D4&lt;$B4))),1,0)</f>
        <v>0</v>
      </c>
      <c r="R4" s="180">
        <f t="shared" ref="R4:R9" si="10">IF(F4&gt;0,0,IF($A4=$N$2,$B4,IF($E4=$N$2,$D4,0)))</f>
        <v>0</v>
      </c>
      <c r="S4" s="180">
        <f t="shared" ref="S4:S9" si="11">IF(F4&gt;0,0,IF($A4=$N$2,$D4,IF($E4=$N$2,$B4,0)))</f>
        <v>0</v>
      </c>
      <c r="U4" s="180">
        <f t="shared" ref="U4:U9" si="12">IF(AND(F4=0,OR($A4=$U$2,$E4=$U$2)),1,0)</f>
        <v>0</v>
      </c>
      <c r="V4" s="180">
        <f t="shared" ref="V4:V9" si="13">IF(AND(F4=0,OR(AND($A4=$U$2,$B4&gt;$D4),AND($E4=$U$2,$D4&gt;$B4))),1,0)</f>
        <v>0</v>
      </c>
      <c r="W4" s="180">
        <f t="shared" ref="W4:W9" si="14">IF(AND(F4=0,U4=1,$B4=$D4),1,0)</f>
        <v>0</v>
      </c>
      <c r="X4" s="180">
        <f t="shared" ref="X4:X9" si="15">IF(AND(F4=0,OR(AND($A4=$U$2,$B4&lt;$D4),AND($E4=$U$2,$D4&lt;$B4))),1,0)</f>
        <v>0</v>
      </c>
      <c r="Y4" s="180">
        <f t="shared" ref="Y4:Y9" si="16">IF(F4&gt;0,0,IF($A4=$U$2,$B4,IF($E4=$U$2,$D4,0)))</f>
        <v>0</v>
      </c>
      <c r="Z4" s="180">
        <f t="shared" ref="Z4:Z9" si="17">IF(F4&gt;0,0,IF($A4=$U$2,$D4,IF($E4=$U$2,$B4,0)))</f>
        <v>0</v>
      </c>
      <c r="AB4" s="180">
        <f t="shared" ref="AB4:AB9" si="18">IF(AND(F4=0,OR($A4=$AB$2,$E4=$AB$2)),1,0)</f>
        <v>0</v>
      </c>
      <c r="AC4" s="180">
        <f t="shared" ref="AC4:AC9" si="19">IF(AND(F4=0,OR(AND($A4=$AB$2,$B4&gt;$D4),AND($E4=$AB$2,$D4&gt;$B4))),1,0)</f>
        <v>0</v>
      </c>
      <c r="AD4" s="180">
        <f t="shared" ref="AD4:AD9" si="20">IF(AND(F4=0,AB4=1,$B4=$D4),1,0)</f>
        <v>0</v>
      </c>
      <c r="AE4" s="180">
        <f t="shared" ref="AE4:AE9" si="21">IF(AND(F4=0,OR(AND($A4=$AB$2,$B4&lt;$D4),AND($E4=$AB$2,$D4&lt;$B4))),1,0)</f>
        <v>0</v>
      </c>
      <c r="AF4" s="180">
        <f t="shared" ref="AF4:AF9" si="22">IF(F4&gt;0,0,IF($A4=$AB$2,$B4,IF($E4=$AB$2,$D4,0)))</f>
        <v>0</v>
      </c>
      <c r="AG4" s="180">
        <f t="shared" ref="AG4:AG9" si="23">IF(F4&gt;0,0,IF($A4=$AB$2,$D4,IF($E4=$AB$2,$B4,0)))</f>
        <v>0</v>
      </c>
    </row>
    <row r="5" spans="1:36" x14ac:dyDescent="0.2">
      <c r="A5" s="177" t="str">
        <f>'Grupo A'!B7</f>
        <v>Polonia</v>
      </c>
      <c r="B5" s="178">
        <f>'Grupo A'!C7</f>
        <v>0</v>
      </c>
      <c r="C5" s="178" t="str">
        <f>'Grupo A'!D7</f>
        <v>-</v>
      </c>
      <c r="D5" s="178">
        <f>'Grupo A'!E7</f>
        <v>0</v>
      </c>
      <c r="E5" s="179" t="str">
        <f>'Grupo A'!F7</f>
        <v>Ecuador</v>
      </c>
      <c r="F5" s="178">
        <f>COUNTBLANK('Grupo A'!C7:E7)</f>
        <v>2</v>
      </c>
      <c r="G5" s="180">
        <f t="shared" si="0"/>
        <v>0</v>
      </c>
      <c r="H5" s="180">
        <f t="shared" si="1"/>
        <v>0</v>
      </c>
      <c r="I5" s="180">
        <f t="shared" si="2"/>
        <v>0</v>
      </c>
      <c r="J5" s="180">
        <f t="shared" si="3"/>
        <v>0</v>
      </c>
      <c r="K5" s="180">
        <f t="shared" si="4"/>
        <v>0</v>
      </c>
      <c r="L5" s="180">
        <f t="shared" si="5"/>
        <v>0</v>
      </c>
      <c r="N5" s="180">
        <f t="shared" si="6"/>
        <v>0</v>
      </c>
      <c r="O5" s="180">
        <f t="shared" si="7"/>
        <v>0</v>
      </c>
      <c r="P5" s="180">
        <f t="shared" si="8"/>
        <v>0</v>
      </c>
      <c r="Q5" s="180">
        <f t="shared" si="9"/>
        <v>0</v>
      </c>
      <c r="R5" s="180">
        <f t="shared" si="10"/>
        <v>0</v>
      </c>
      <c r="S5" s="180">
        <f t="shared" si="11"/>
        <v>0</v>
      </c>
      <c r="U5" s="180">
        <f t="shared" si="12"/>
        <v>0</v>
      </c>
      <c r="V5" s="180">
        <f t="shared" si="13"/>
        <v>0</v>
      </c>
      <c r="W5" s="180">
        <f t="shared" si="14"/>
        <v>0</v>
      </c>
      <c r="X5" s="180">
        <f t="shared" si="15"/>
        <v>0</v>
      </c>
      <c r="Y5" s="180">
        <f t="shared" si="16"/>
        <v>0</v>
      </c>
      <c r="Z5" s="180">
        <f t="shared" si="17"/>
        <v>0</v>
      </c>
      <c r="AB5" s="180">
        <f t="shared" si="18"/>
        <v>0</v>
      </c>
      <c r="AC5" s="180">
        <f t="shared" si="19"/>
        <v>0</v>
      </c>
      <c r="AD5" s="180">
        <f t="shared" si="20"/>
        <v>0</v>
      </c>
      <c r="AE5" s="180">
        <f t="shared" si="21"/>
        <v>0</v>
      </c>
      <c r="AF5" s="180">
        <f t="shared" si="22"/>
        <v>0</v>
      </c>
      <c r="AG5" s="180">
        <f t="shared" si="23"/>
        <v>0</v>
      </c>
    </row>
    <row r="6" spans="1:36" x14ac:dyDescent="0.2">
      <c r="A6" s="177" t="str">
        <f>'Grupo A'!B8</f>
        <v>Alemania</v>
      </c>
      <c r="B6" s="178">
        <f>'Grupo A'!C8</f>
        <v>0</v>
      </c>
      <c r="C6" s="178" t="str">
        <f>'Grupo A'!D8</f>
        <v>-</v>
      </c>
      <c r="D6" s="178">
        <f>'Grupo A'!E8</f>
        <v>0</v>
      </c>
      <c r="E6" s="179" t="str">
        <f>'Grupo A'!F8</f>
        <v>Polonia</v>
      </c>
      <c r="F6" s="178">
        <f>COUNTBLANK('Grupo A'!C8:E8)</f>
        <v>2</v>
      </c>
      <c r="G6" s="180">
        <f t="shared" si="0"/>
        <v>0</v>
      </c>
      <c r="H6" s="180">
        <f t="shared" si="1"/>
        <v>0</v>
      </c>
      <c r="I6" s="180">
        <f t="shared" si="2"/>
        <v>0</v>
      </c>
      <c r="J6" s="180">
        <f t="shared" si="3"/>
        <v>0</v>
      </c>
      <c r="K6" s="180">
        <f t="shared" si="4"/>
        <v>0</v>
      </c>
      <c r="L6" s="180">
        <f t="shared" si="5"/>
        <v>0</v>
      </c>
      <c r="N6" s="180">
        <f t="shared" si="6"/>
        <v>0</v>
      </c>
      <c r="O6" s="180">
        <f t="shared" si="7"/>
        <v>0</v>
      </c>
      <c r="P6" s="180">
        <f t="shared" si="8"/>
        <v>0</v>
      </c>
      <c r="Q6" s="180">
        <f t="shared" si="9"/>
        <v>0</v>
      </c>
      <c r="R6" s="180">
        <f t="shared" si="10"/>
        <v>0</v>
      </c>
      <c r="S6" s="180">
        <f t="shared" si="11"/>
        <v>0</v>
      </c>
      <c r="U6" s="180">
        <f t="shared" si="12"/>
        <v>0</v>
      </c>
      <c r="V6" s="180">
        <f t="shared" si="13"/>
        <v>0</v>
      </c>
      <c r="W6" s="180">
        <f t="shared" si="14"/>
        <v>0</v>
      </c>
      <c r="X6" s="180">
        <f t="shared" si="15"/>
        <v>0</v>
      </c>
      <c r="Y6" s="180">
        <f t="shared" si="16"/>
        <v>0</v>
      </c>
      <c r="Z6" s="180">
        <f t="shared" si="17"/>
        <v>0</v>
      </c>
      <c r="AB6" s="180">
        <f t="shared" si="18"/>
        <v>0</v>
      </c>
      <c r="AC6" s="180">
        <f t="shared" si="19"/>
        <v>0</v>
      </c>
      <c r="AD6" s="180">
        <f t="shared" si="20"/>
        <v>0</v>
      </c>
      <c r="AE6" s="180">
        <f t="shared" si="21"/>
        <v>0</v>
      </c>
      <c r="AF6" s="180">
        <f t="shared" si="22"/>
        <v>0</v>
      </c>
      <c r="AG6" s="180">
        <f t="shared" si="23"/>
        <v>0</v>
      </c>
    </row>
    <row r="7" spans="1:36" x14ac:dyDescent="0.2">
      <c r="A7" s="177" t="str">
        <f>'Grupo A'!B9</f>
        <v>Ecuador</v>
      </c>
      <c r="B7" s="178">
        <f>'Grupo A'!C9</f>
        <v>0</v>
      </c>
      <c r="C7" s="178" t="str">
        <f>'Grupo A'!D9</f>
        <v>-</v>
      </c>
      <c r="D7" s="178">
        <f>'Grupo A'!E9</f>
        <v>0</v>
      </c>
      <c r="E7" s="179" t="str">
        <f>'Grupo A'!F9</f>
        <v>Costa Rica</v>
      </c>
      <c r="F7" s="178">
        <f>COUNTBLANK('Grupo A'!C9:E9)</f>
        <v>2</v>
      </c>
      <c r="G7" s="180">
        <f t="shared" si="0"/>
        <v>0</v>
      </c>
      <c r="H7" s="180">
        <f t="shared" si="1"/>
        <v>0</v>
      </c>
      <c r="I7" s="180">
        <f t="shared" si="2"/>
        <v>0</v>
      </c>
      <c r="J7" s="180">
        <f t="shared" si="3"/>
        <v>0</v>
      </c>
      <c r="K7" s="180">
        <f t="shared" si="4"/>
        <v>0</v>
      </c>
      <c r="L7" s="180">
        <f t="shared" si="5"/>
        <v>0</v>
      </c>
      <c r="N7" s="180">
        <f t="shared" si="6"/>
        <v>0</v>
      </c>
      <c r="O7" s="180">
        <f t="shared" si="7"/>
        <v>0</v>
      </c>
      <c r="P7" s="180">
        <f t="shared" si="8"/>
        <v>0</v>
      </c>
      <c r="Q7" s="180">
        <f t="shared" si="9"/>
        <v>0</v>
      </c>
      <c r="R7" s="180">
        <f t="shared" si="10"/>
        <v>0</v>
      </c>
      <c r="S7" s="180">
        <f t="shared" si="11"/>
        <v>0</v>
      </c>
      <c r="U7" s="180">
        <f t="shared" si="12"/>
        <v>0</v>
      </c>
      <c r="V7" s="180">
        <f t="shared" si="13"/>
        <v>0</v>
      </c>
      <c r="W7" s="180">
        <f t="shared" si="14"/>
        <v>0</v>
      </c>
      <c r="X7" s="180">
        <f t="shared" si="15"/>
        <v>0</v>
      </c>
      <c r="Y7" s="180">
        <f t="shared" si="16"/>
        <v>0</v>
      </c>
      <c r="Z7" s="180">
        <f t="shared" si="17"/>
        <v>0</v>
      </c>
      <c r="AB7" s="180">
        <f t="shared" si="18"/>
        <v>0</v>
      </c>
      <c r="AC7" s="180">
        <f t="shared" si="19"/>
        <v>0</v>
      </c>
      <c r="AD7" s="180">
        <f t="shared" si="20"/>
        <v>0</v>
      </c>
      <c r="AE7" s="180">
        <f t="shared" si="21"/>
        <v>0</v>
      </c>
      <c r="AF7" s="180">
        <f t="shared" si="22"/>
        <v>0</v>
      </c>
      <c r="AG7" s="180">
        <f t="shared" si="23"/>
        <v>0</v>
      </c>
    </row>
    <row r="8" spans="1:36" x14ac:dyDescent="0.2">
      <c r="A8" s="177" t="str">
        <f>'Grupo A'!B10</f>
        <v>Ecuador</v>
      </c>
      <c r="B8" s="178">
        <f>'Grupo A'!C10</f>
        <v>0</v>
      </c>
      <c r="C8" s="178" t="str">
        <f>'Grupo A'!D10</f>
        <v>-</v>
      </c>
      <c r="D8" s="178">
        <f>'Grupo A'!E10</f>
        <v>0</v>
      </c>
      <c r="E8" s="179" t="str">
        <f>'Grupo A'!F10</f>
        <v>Alemania</v>
      </c>
      <c r="F8" s="178">
        <f>COUNTBLANK('Grupo A'!C10:E10)</f>
        <v>2</v>
      </c>
      <c r="G8" s="180">
        <f t="shared" si="0"/>
        <v>0</v>
      </c>
      <c r="H8" s="180">
        <f t="shared" si="1"/>
        <v>0</v>
      </c>
      <c r="I8" s="180">
        <f t="shared" si="2"/>
        <v>0</v>
      </c>
      <c r="J8" s="180">
        <f t="shared" si="3"/>
        <v>0</v>
      </c>
      <c r="K8" s="180">
        <f t="shared" si="4"/>
        <v>0</v>
      </c>
      <c r="L8" s="180">
        <f t="shared" si="5"/>
        <v>0</v>
      </c>
      <c r="N8" s="180">
        <f t="shared" si="6"/>
        <v>0</v>
      </c>
      <c r="O8" s="180">
        <f t="shared" si="7"/>
        <v>0</v>
      </c>
      <c r="P8" s="180">
        <f t="shared" si="8"/>
        <v>0</v>
      </c>
      <c r="Q8" s="180">
        <f t="shared" si="9"/>
        <v>0</v>
      </c>
      <c r="R8" s="180">
        <f t="shared" si="10"/>
        <v>0</v>
      </c>
      <c r="S8" s="180">
        <f t="shared" si="11"/>
        <v>0</v>
      </c>
      <c r="U8" s="180">
        <f t="shared" si="12"/>
        <v>0</v>
      </c>
      <c r="V8" s="180">
        <f t="shared" si="13"/>
        <v>0</v>
      </c>
      <c r="W8" s="180">
        <f t="shared" si="14"/>
        <v>0</v>
      </c>
      <c r="X8" s="180">
        <f t="shared" si="15"/>
        <v>0</v>
      </c>
      <c r="Y8" s="180">
        <f t="shared" si="16"/>
        <v>0</v>
      </c>
      <c r="Z8" s="180">
        <f t="shared" si="17"/>
        <v>0</v>
      </c>
      <c r="AB8" s="180">
        <f t="shared" si="18"/>
        <v>0</v>
      </c>
      <c r="AC8" s="180">
        <f t="shared" si="19"/>
        <v>0</v>
      </c>
      <c r="AD8" s="180">
        <f t="shared" si="20"/>
        <v>0</v>
      </c>
      <c r="AE8" s="180">
        <f t="shared" si="21"/>
        <v>0</v>
      </c>
      <c r="AF8" s="180">
        <f t="shared" si="22"/>
        <v>0</v>
      </c>
      <c r="AG8" s="180">
        <f t="shared" si="23"/>
        <v>0</v>
      </c>
    </row>
    <row r="9" spans="1:36" x14ac:dyDescent="0.2">
      <c r="A9" s="177" t="str">
        <f>'Grupo A'!B11</f>
        <v>Costa Rica</v>
      </c>
      <c r="B9" s="178">
        <f>'Grupo A'!C11</f>
        <v>0</v>
      </c>
      <c r="C9" s="178" t="str">
        <f>'Grupo A'!D11</f>
        <v>-</v>
      </c>
      <c r="D9" s="178">
        <f>'Grupo A'!E11</f>
        <v>0</v>
      </c>
      <c r="E9" s="179" t="str">
        <f>'Grupo A'!F11</f>
        <v>Polonia</v>
      </c>
      <c r="F9" s="178">
        <f>COUNTBLANK('Grupo A'!C11:E11)</f>
        <v>2</v>
      </c>
      <c r="G9" s="180">
        <f t="shared" si="0"/>
        <v>0</v>
      </c>
      <c r="H9" s="180">
        <f t="shared" si="1"/>
        <v>0</v>
      </c>
      <c r="I9" s="180">
        <f t="shared" si="2"/>
        <v>0</v>
      </c>
      <c r="J9" s="180">
        <f t="shared" si="3"/>
        <v>0</v>
      </c>
      <c r="K9" s="180">
        <f t="shared" si="4"/>
        <v>0</v>
      </c>
      <c r="L9" s="180">
        <f t="shared" si="5"/>
        <v>0</v>
      </c>
      <c r="N9" s="180">
        <f t="shared" si="6"/>
        <v>0</v>
      </c>
      <c r="O9" s="180">
        <f t="shared" si="7"/>
        <v>0</v>
      </c>
      <c r="P9" s="180">
        <f t="shared" si="8"/>
        <v>0</v>
      </c>
      <c r="Q9" s="180">
        <f t="shared" si="9"/>
        <v>0</v>
      </c>
      <c r="R9" s="180">
        <f t="shared" si="10"/>
        <v>0</v>
      </c>
      <c r="S9" s="180">
        <f t="shared" si="11"/>
        <v>0</v>
      </c>
      <c r="U9" s="180">
        <f t="shared" si="12"/>
        <v>0</v>
      </c>
      <c r="V9" s="180">
        <f t="shared" si="13"/>
        <v>0</v>
      </c>
      <c r="W9" s="180">
        <f t="shared" si="14"/>
        <v>0</v>
      </c>
      <c r="X9" s="180">
        <f t="shared" si="15"/>
        <v>0</v>
      </c>
      <c r="Y9" s="180">
        <f t="shared" si="16"/>
        <v>0</v>
      </c>
      <c r="Z9" s="180">
        <f t="shared" si="17"/>
        <v>0</v>
      </c>
      <c r="AB9" s="180">
        <f t="shared" si="18"/>
        <v>0</v>
      </c>
      <c r="AC9" s="180">
        <f t="shared" si="19"/>
        <v>0</v>
      </c>
      <c r="AD9" s="180">
        <f t="shared" si="20"/>
        <v>0</v>
      </c>
      <c r="AE9" s="180">
        <f t="shared" si="21"/>
        <v>0</v>
      </c>
      <c r="AF9" s="180">
        <f t="shared" si="22"/>
        <v>0</v>
      </c>
      <c r="AG9" s="180">
        <f t="shared" si="23"/>
        <v>0</v>
      </c>
    </row>
    <row r="10" spans="1:36" x14ac:dyDescent="0.2">
      <c r="G10" s="180">
        <f t="shared" ref="G10:L10" si="24">SUM(G4:G9)</f>
        <v>0</v>
      </c>
      <c r="H10" s="180">
        <f t="shared" si="24"/>
        <v>0</v>
      </c>
      <c r="I10" s="180">
        <f t="shared" si="24"/>
        <v>0</v>
      </c>
      <c r="J10" s="180">
        <f t="shared" si="24"/>
        <v>0</v>
      </c>
      <c r="K10" s="180">
        <f t="shared" si="24"/>
        <v>0</v>
      </c>
      <c r="L10" s="180">
        <f t="shared" si="24"/>
        <v>0</v>
      </c>
      <c r="M10" s="180">
        <f>H10*3+I10</f>
        <v>0</v>
      </c>
      <c r="N10" s="180">
        <f t="shared" ref="N10:S10" si="25">SUM(N4:N9)</f>
        <v>0</v>
      </c>
      <c r="O10" s="180">
        <f t="shared" si="25"/>
        <v>0</v>
      </c>
      <c r="P10" s="180">
        <f t="shared" si="25"/>
        <v>0</v>
      </c>
      <c r="Q10" s="180">
        <f t="shared" si="25"/>
        <v>0</v>
      </c>
      <c r="R10" s="180">
        <f t="shared" si="25"/>
        <v>0</v>
      </c>
      <c r="S10" s="180">
        <f t="shared" si="25"/>
        <v>0</v>
      </c>
      <c r="T10" s="180">
        <f>O10*3+P10</f>
        <v>0</v>
      </c>
      <c r="U10" s="180">
        <f t="shared" ref="U10:Z10" si="26">SUM(U4:U9)</f>
        <v>0</v>
      </c>
      <c r="V10" s="180">
        <f t="shared" si="26"/>
        <v>0</v>
      </c>
      <c r="W10" s="180">
        <f t="shared" si="26"/>
        <v>0</v>
      </c>
      <c r="X10" s="180">
        <f t="shared" si="26"/>
        <v>0</v>
      </c>
      <c r="Y10" s="180">
        <f t="shared" si="26"/>
        <v>0</v>
      </c>
      <c r="Z10" s="180">
        <f t="shared" si="26"/>
        <v>0</v>
      </c>
      <c r="AA10" s="180">
        <f>V10*3+W10</f>
        <v>0</v>
      </c>
      <c r="AB10" s="180">
        <f t="shared" ref="AB10:AG10" si="27">SUM(AB4:AB9)</f>
        <v>0</v>
      </c>
      <c r="AC10" s="180">
        <f t="shared" si="27"/>
        <v>0</v>
      </c>
      <c r="AD10" s="180">
        <f t="shared" si="27"/>
        <v>0</v>
      </c>
      <c r="AE10" s="180">
        <f t="shared" si="27"/>
        <v>0</v>
      </c>
      <c r="AF10" s="180">
        <f t="shared" si="27"/>
        <v>0</v>
      </c>
      <c r="AG10" s="180">
        <f t="shared" si="27"/>
        <v>0</v>
      </c>
      <c r="AH10" s="180">
        <f>AC10*3+AD10</f>
        <v>0</v>
      </c>
    </row>
    <row r="14" spans="1:36" x14ac:dyDescent="0.2">
      <c r="F14" t="s">
        <v>154</v>
      </c>
    </row>
    <row r="15" spans="1:36" x14ac:dyDescent="0.2">
      <c r="G15" t="s">
        <v>148</v>
      </c>
      <c r="H15" t="s">
        <v>149</v>
      </c>
      <c r="I15" t="s">
        <v>150</v>
      </c>
      <c r="J15" t="s">
        <v>151</v>
      </c>
      <c r="K15" t="s">
        <v>152</v>
      </c>
      <c r="L15" t="s">
        <v>153</v>
      </c>
      <c r="M15" t="s">
        <v>155</v>
      </c>
      <c r="O15" t="s">
        <v>156</v>
      </c>
      <c r="S15" t="s">
        <v>157</v>
      </c>
      <c r="W15" t="s">
        <v>158</v>
      </c>
      <c r="AA15" t="s">
        <v>159</v>
      </c>
      <c r="AE15" t="s">
        <v>160</v>
      </c>
      <c r="AI15" t="s">
        <v>161</v>
      </c>
    </row>
    <row r="16" spans="1:36" x14ac:dyDescent="0.2">
      <c r="F16" t="str">
        <f>G2</f>
        <v>Alemania</v>
      </c>
      <c r="G16" s="180">
        <f t="shared" ref="G16:M16" si="28">G10</f>
        <v>0</v>
      </c>
      <c r="H16" s="180">
        <f t="shared" si="28"/>
        <v>0</v>
      </c>
      <c r="I16" s="180">
        <f t="shared" si="28"/>
        <v>0</v>
      </c>
      <c r="J16" s="180">
        <f t="shared" si="28"/>
        <v>0</v>
      </c>
      <c r="K16" s="180">
        <f t="shared" si="28"/>
        <v>0</v>
      </c>
      <c r="L16" s="180">
        <f t="shared" si="28"/>
        <v>0</v>
      </c>
      <c r="M16" s="180">
        <f t="shared" si="28"/>
        <v>0</v>
      </c>
      <c r="O16" t="str">
        <f>IF($M16&gt;=$M17,$F16,$F17)</f>
        <v>Alemania</v>
      </c>
      <c r="P16" s="180">
        <f>VLOOKUP(O16,$F$16:$M$25,8,FALSE)</f>
        <v>0</v>
      </c>
      <c r="S16" t="str">
        <f>IF($P16&gt;=$P18,$O16,$O18)</f>
        <v>Alemania</v>
      </c>
      <c r="T16" s="180">
        <f>VLOOKUP(S16,$O$16:$P$25,2,FALSE)</f>
        <v>0</v>
      </c>
      <c r="W16" t="str">
        <f>IF($T16&gt;=$T19,$S16,$S19)</f>
        <v>Alemania</v>
      </c>
      <c r="X16" s="180">
        <f>VLOOKUP(W16,$S$16:$T$25,2,FALSE)</f>
        <v>0</v>
      </c>
      <c r="AA16" t="str">
        <f>W16</f>
        <v>Alemania</v>
      </c>
      <c r="AB16" s="180">
        <f>VLOOKUP(AA16,W16:X25,2,FALSE)</f>
        <v>0</v>
      </c>
      <c r="AE16" t="str">
        <f>AA16</f>
        <v>Alemania</v>
      </c>
      <c r="AF16" s="180">
        <f>VLOOKUP(AE16,AA16:AB25,2,FALSE)</f>
        <v>0</v>
      </c>
      <c r="AI16" t="str">
        <f>AE16</f>
        <v>Alemania</v>
      </c>
      <c r="AJ16" s="180">
        <f>VLOOKUP(AI16,AE16:AF25,2,FALSE)</f>
        <v>0</v>
      </c>
    </row>
    <row r="17" spans="6:37" x14ac:dyDescent="0.2">
      <c r="F17" t="str">
        <f>N2</f>
        <v>Costa Rica</v>
      </c>
      <c r="G17" s="180">
        <f t="shared" ref="G17:M17" si="29">N10</f>
        <v>0</v>
      </c>
      <c r="H17" s="180">
        <f t="shared" si="29"/>
        <v>0</v>
      </c>
      <c r="I17" s="180">
        <f t="shared" si="29"/>
        <v>0</v>
      </c>
      <c r="J17" s="180">
        <f t="shared" si="29"/>
        <v>0</v>
      </c>
      <c r="K17" s="180">
        <f t="shared" si="29"/>
        <v>0</v>
      </c>
      <c r="L17" s="180">
        <f t="shared" si="29"/>
        <v>0</v>
      </c>
      <c r="M17" s="180">
        <f t="shared" si="29"/>
        <v>0</v>
      </c>
      <c r="O17" t="str">
        <f>IF($M17&lt;=$M16,$F17,$F16)</f>
        <v>Costa Rica</v>
      </c>
      <c r="P17" s="180">
        <f>VLOOKUP(O17,$F$16:$M$25,8,FALSE)</f>
        <v>0</v>
      </c>
      <c r="S17" t="str">
        <f>O17</f>
        <v>Costa Rica</v>
      </c>
      <c r="T17" s="180">
        <f>VLOOKUP(S17,$O$16:$P$25,2,FALSE)</f>
        <v>0</v>
      </c>
      <c r="W17" t="str">
        <f>S17</f>
        <v>Costa Rica</v>
      </c>
      <c r="X17" s="180">
        <f>VLOOKUP(W17,$S$16:$T$25,2,FALSE)</f>
        <v>0</v>
      </c>
      <c r="AA17" t="str">
        <f>IF(X17&gt;=X18,W17,W18)</f>
        <v>Costa Rica</v>
      </c>
      <c r="AB17" s="180">
        <f>VLOOKUP(AA17,W16:X25,2,FALSE)</f>
        <v>0</v>
      </c>
      <c r="AE17" t="str">
        <f>IF(AB17&gt;=AB19,AA17,AA19)</f>
        <v>Costa Rica</v>
      </c>
      <c r="AF17" s="180">
        <f>VLOOKUP(AE17,AA16:AB25,2,FALSE)</f>
        <v>0</v>
      </c>
      <c r="AI17" t="str">
        <f>AE17</f>
        <v>Costa Rica</v>
      </c>
      <c r="AJ17" s="180">
        <f>VLOOKUP(AI17,AE16:AF25,2,FALSE)</f>
        <v>0</v>
      </c>
    </row>
    <row r="18" spans="6:37" x14ac:dyDescent="0.2">
      <c r="F18" t="str">
        <f>U2</f>
        <v>Polonia</v>
      </c>
      <c r="G18" s="180">
        <f t="shared" ref="G18:M18" si="30">U10</f>
        <v>0</v>
      </c>
      <c r="H18" s="180">
        <f t="shared" si="30"/>
        <v>0</v>
      </c>
      <c r="I18" s="180">
        <f t="shared" si="30"/>
        <v>0</v>
      </c>
      <c r="J18" s="180">
        <f t="shared" si="30"/>
        <v>0</v>
      </c>
      <c r="K18" s="180">
        <f t="shared" si="30"/>
        <v>0</v>
      </c>
      <c r="L18" s="180">
        <f t="shared" si="30"/>
        <v>0</v>
      </c>
      <c r="M18" s="180">
        <f t="shared" si="30"/>
        <v>0</v>
      </c>
      <c r="O18" t="str">
        <f>F18</f>
        <v>Polonia</v>
      </c>
      <c r="P18" s="180">
        <f>VLOOKUP(O18,$F$16:$M$25,8,FALSE)</f>
        <v>0</v>
      </c>
      <c r="S18" t="str">
        <f>IF($P18&lt;=$P16,$O18,$O16)</f>
        <v>Polonia</v>
      </c>
      <c r="T18" s="180">
        <f>VLOOKUP(S18,$O$16:$P$25,2,FALSE)</f>
        <v>0</v>
      </c>
      <c r="W18" t="str">
        <f>S18</f>
        <v>Polonia</v>
      </c>
      <c r="X18" s="180">
        <f>VLOOKUP(W18,$S$16:$T$25,2,FALSE)</f>
        <v>0</v>
      </c>
      <c r="AA18" t="str">
        <f>IF(X18&lt;=X17,W18,W17)</f>
        <v>Polonia</v>
      </c>
      <c r="AB18" s="180">
        <f>VLOOKUP(AA18,W16:X25,2,FALSE)</f>
        <v>0</v>
      </c>
      <c r="AE18" t="str">
        <f>AA18</f>
        <v>Polonia</v>
      </c>
      <c r="AF18" s="180">
        <f>VLOOKUP(AE18,AA16:AB25,2,FALSE)</f>
        <v>0</v>
      </c>
      <c r="AI18" t="str">
        <f>IF(AF18&gt;=AF19,AE18,AE19)</f>
        <v>Polonia</v>
      </c>
      <c r="AJ18" s="180">
        <f>VLOOKUP(AI18,AE16:AF25,2,FALSE)</f>
        <v>0</v>
      </c>
    </row>
    <row r="19" spans="6:37" x14ac:dyDescent="0.2">
      <c r="F19" t="str">
        <f>AB2</f>
        <v>Ecuador</v>
      </c>
      <c r="G19" s="180">
        <f t="shared" ref="G19:M19" si="31">AB10</f>
        <v>0</v>
      </c>
      <c r="H19" s="180">
        <f t="shared" si="31"/>
        <v>0</v>
      </c>
      <c r="I19" s="180">
        <f t="shared" si="31"/>
        <v>0</v>
      </c>
      <c r="J19" s="180">
        <f t="shared" si="31"/>
        <v>0</v>
      </c>
      <c r="K19" s="180">
        <f t="shared" si="31"/>
        <v>0</v>
      </c>
      <c r="L19" s="180">
        <f t="shared" si="31"/>
        <v>0</v>
      </c>
      <c r="M19" s="180">
        <f t="shared" si="31"/>
        <v>0</v>
      </c>
      <c r="O19" t="str">
        <f>F19</f>
        <v>Ecuador</v>
      </c>
      <c r="P19" s="180">
        <f>VLOOKUP(O19,$F$16:$M$25,8,FALSE)</f>
        <v>0</v>
      </c>
      <c r="S19" t="str">
        <f>O19</f>
        <v>Ecuador</v>
      </c>
      <c r="T19" s="180">
        <f>VLOOKUP(S19,$O$16:$P$25,2,FALSE)</f>
        <v>0</v>
      </c>
      <c r="W19" t="str">
        <f>IF($T19&lt;=$T16,$S19,$S16)</f>
        <v>Ecuador</v>
      </c>
      <c r="X19" s="180">
        <f>VLOOKUP(W19,$S$16:$T$25,2,FALSE)</f>
        <v>0</v>
      </c>
      <c r="AA19" t="str">
        <f>W19</f>
        <v>Ecuador</v>
      </c>
      <c r="AB19" s="180">
        <f>VLOOKUP(AA19,W16:X25,2,FALSE)</f>
        <v>0</v>
      </c>
      <c r="AE19" t="str">
        <f>IF(AB19&lt;=AB17,AA19,AA17)</f>
        <v>Ecuador</v>
      </c>
      <c r="AF19" s="180">
        <f>VLOOKUP(AE19,AA16:AB25,2,FALSE)</f>
        <v>0</v>
      </c>
      <c r="AI19" t="str">
        <f>IF(AF19&lt;=AF18,AE19,AE18)</f>
        <v>Ecuador</v>
      </c>
      <c r="AJ19" s="180">
        <f>VLOOKUP(AI19,AE16:AF25,2,FALSE)</f>
        <v>0</v>
      </c>
    </row>
    <row r="28" spans="6:37" x14ac:dyDescent="0.2">
      <c r="F28" t="str">
        <f>AI16</f>
        <v>Alemania</v>
      </c>
      <c r="J28" s="180">
        <f>AJ16</f>
        <v>0</v>
      </c>
      <c r="K28" s="180">
        <f>VLOOKUP(AI16,$F$16:$M$25,6,FALSE)</f>
        <v>0</v>
      </c>
      <c r="L28" s="180">
        <f>VLOOKUP(AI16,$F$16:$M$25,7,FALSE)</f>
        <v>0</v>
      </c>
      <c r="M28" s="180">
        <f>K28-L28</f>
        <v>0</v>
      </c>
      <c r="O28" t="str">
        <f>IF(AND($J28=$J29,$M29&gt;$M28),$F29,$F28)</f>
        <v>Alemania</v>
      </c>
      <c r="P28" s="180">
        <f>VLOOKUP(O28,$F$28:$M$37,5,FALSE)</f>
        <v>0</v>
      </c>
      <c r="Q28" s="180">
        <f>VLOOKUP(O28,$F$28:$M$37,8,FALSE)</f>
        <v>0</v>
      </c>
      <c r="S28" t="str">
        <f>IF(AND(P28=P30,Q30&gt;Q28),O30,O28)</f>
        <v>Alemania</v>
      </c>
      <c r="T28" s="180">
        <f>VLOOKUP(S28,$O$28:$Q$37,2,FALSE)</f>
        <v>0</v>
      </c>
      <c r="U28" s="180">
        <f>VLOOKUP(S28,$O$28:$Q$37,3,FALSE)</f>
        <v>0</v>
      </c>
      <c r="W28" t="str">
        <f>IF(AND(T28=T31,U31&gt;U28),S31,S28)</f>
        <v>Alemania</v>
      </c>
      <c r="X28" s="180">
        <f>VLOOKUP(W28,$S$28:$U$37,2,FALSE)</f>
        <v>0</v>
      </c>
      <c r="Y28" s="180">
        <f>VLOOKUP(W28,$S$28:$U$37,3,FALSE)</f>
        <v>0</v>
      </c>
      <c r="AA28" t="str">
        <f>W28</f>
        <v>Alemania</v>
      </c>
      <c r="AB28" s="180">
        <f>VLOOKUP(AA28,W28:Y37,2,FALSE)</f>
        <v>0</v>
      </c>
      <c r="AC28" s="180">
        <f>VLOOKUP(AA28,W28:Y37,3,FALSE)</f>
        <v>0</v>
      </c>
      <c r="AE28" t="str">
        <f>AA28</f>
        <v>Alemania</v>
      </c>
      <c r="AF28" s="180">
        <f>VLOOKUP(AE28,AA28:AC37,2,FALSE)</f>
        <v>0</v>
      </c>
      <c r="AG28" s="180">
        <f>VLOOKUP(AE28,AA28:AC37,3,FALSE)</f>
        <v>0</v>
      </c>
      <c r="AI28" t="str">
        <f>AE28</f>
        <v>Alemania</v>
      </c>
      <c r="AJ28" s="180">
        <f>VLOOKUP(AI28,AE28:AG37,2,FALSE)</f>
        <v>0</v>
      </c>
      <c r="AK28" s="180">
        <f>VLOOKUP(AI28,AE28:AG37,3,FALSE)</f>
        <v>0</v>
      </c>
    </row>
    <row r="29" spans="6:37" x14ac:dyDescent="0.2">
      <c r="F29" t="str">
        <f>AI17</f>
        <v>Costa Rica</v>
      </c>
      <c r="J29" s="180">
        <f>AJ17</f>
        <v>0</v>
      </c>
      <c r="K29" s="180">
        <f>VLOOKUP(AI17,$F$16:$M$25,6,FALSE)</f>
        <v>0</v>
      </c>
      <c r="L29" s="180">
        <f>VLOOKUP(AI17,$F$16:$M$25,7,FALSE)</f>
        <v>0</v>
      </c>
      <c r="M29" s="180">
        <f>K29-L29</f>
        <v>0</v>
      </c>
      <c r="O29" t="str">
        <f>IF(AND($J28=$J29,$M29&gt;$M28),$F28,$F29)</f>
        <v>Costa Rica</v>
      </c>
      <c r="P29" s="180">
        <f>VLOOKUP(O29,$F$28:$M$37,5,FALSE)</f>
        <v>0</v>
      </c>
      <c r="Q29" s="180">
        <f>VLOOKUP(O29,$F$28:$M$37,8,FALSE)</f>
        <v>0</v>
      </c>
      <c r="S29" t="str">
        <f>O29</f>
        <v>Costa Rica</v>
      </c>
      <c r="T29" s="180">
        <f>VLOOKUP(S29,$O$28:$Q$37,2,FALSE)</f>
        <v>0</v>
      </c>
      <c r="U29" s="180">
        <f>VLOOKUP(S29,$O$28:$Q$37,3,FALSE)</f>
        <v>0</v>
      </c>
      <c r="W29" t="str">
        <f>S29</f>
        <v>Costa Rica</v>
      </c>
      <c r="X29" s="180">
        <f>VLOOKUP(W29,$S$28:$U$37,2,FALSE)</f>
        <v>0</v>
      </c>
      <c r="Y29" s="180">
        <f>VLOOKUP(W29,$S$28:$U$37,3,FALSE)</f>
        <v>0</v>
      </c>
      <c r="AA29" t="str">
        <f>IF(AND(X29=X30,Y30&gt;Y29),W30,W29)</f>
        <v>Costa Rica</v>
      </c>
      <c r="AB29" s="180">
        <f>VLOOKUP(AA29,W28:Y37,2,FALSE)</f>
        <v>0</v>
      </c>
      <c r="AC29" s="180">
        <f>VLOOKUP(AA29,W28:Y37,3,FALSE)</f>
        <v>0</v>
      </c>
      <c r="AE29" t="str">
        <f>IF(AND(AB29=AB31,AC31&gt;AC29),AA31,AA29)</f>
        <v>Costa Rica</v>
      </c>
      <c r="AF29" s="180">
        <f>VLOOKUP(AE29,AA28:AC37,2,FALSE)</f>
        <v>0</v>
      </c>
      <c r="AG29" s="180">
        <f>VLOOKUP(AE29,AA28:AC37,3,FALSE)</f>
        <v>0</v>
      </c>
      <c r="AI29" t="str">
        <f>AE29</f>
        <v>Costa Rica</v>
      </c>
      <c r="AJ29" s="180">
        <f>VLOOKUP(AI29,AE28:AG37,2,FALSE)</f>
        <v>0</v>
      </c>
      <c r="AK29" s="180">
        <f>VLOOKUP(AI29,AE28:AG37,3,FALSE)</f>
        <v>0</v>
      </c>
    </row>
    <row r="30" spans="6:37" x14ac:dyDescent="0.2">
      <c r="F30" t="str">
        <f>AI18</f>
        <v>Polonia</v>
      </c>
      <c r="J30" s="180">
        <f>AJ18</f>
        <v>0</v>
      </c>
      <c r="K30" s="180">
        <f>VLOOKUP(AI18,$F$16:$M$25,6,FALSE)</f>
        <v>0</v>
      </c>
      <c r="L30" s="180">
        <f>VLOOKUP(AI18,$F$16:$M$25,7,FALSE)</f>
        <v>0</v>
      </c>
      <c r="M30" s="180">
        <f>K30-L30</f>
        <v>0</v>
      </c>
      <c r="O30" t="str">
        <f>F30</f>
        <v>Polonia</v>
      </c>
      <c r="P30" s="180">
        <f>VLOOKUP(O30,$F$28:$M$37,5,FALSE)</f>
        <v>0</v>
      </c>
      <c r="Q30" s="180">
        <f>VLOOKUP(O30,$F$28:$M$37,8,FALSE)</f>
        <v>0</v>
      </c>
      <c r="S30" t="str">
        <f>IF(AND($P28=P30,Q30&gt;Q28),O28,O30)</f>
        <v>Polonia</v>
      </c>
      <c r="T30" s="180">
        <f>VLOOKUP(S30,$O$28:$Q$37,2,FALSE)</f>
        <v>0</v>
      </c>
      <c r="U30" s="180">
        <f>VLOOKUP(S30,$O$28:$Q$37,3,FALSE)</f>
        <v>0</v>
      </c>
      <c r="W30" t="str">
        <f>S30</f>
        <v>Polonia</v>
      </c>
      <c r="X30" s="180">
        <f>VLOOKUP(W30,$S$28:$U$37,2,FALSE)</f>
        <v>0</v>
      </c>
      <c r="Y30" s="180">
        <f>VLOOKUP(W30,$S$28:$U$37,3,FALSE)</f>
        <v>0</v>
      </c>
      <c r="AA30" t="str">
        <f>IF(AND(X29=X30,Y30&gt;Y29),W29,W30)</f>
        <v>Polonia</v>
      </c>
      <c r="AB30" s="180">
        <f>VLOOKUP(AA30,W28:Y37,2,FALSE)</f>
        <v>0</v>
      </c>
      <c r="AC30" s="180">
        <f>VLOOKUP(AA30,W28:Y37,3,FALSE)</f>
        <v>0</v>
      </c>
      <c r="AE30" t="str">
        <f>AA30</f>
        <v>Polonia</v>
      </c>
      <c r="AF30" s="180">
        <f>VLOOKUP(AE30,AA28:AC37,2,FALSE)</f>
        <v>0</v>
      </c>
      <c r="AG30" s="180">
        <f>VLOOKUP(AE30,AA28:AC37,3,FALSE)</f>
        <v>0</v>
      </c>
      <c r="AI30" t="str">
        <f>IF(AND(AF30=AF31,AG31&gt;AG30),AE31,AE30)</f>
        <v>Polonia</v>
      </c>
      <c r="AJ30" s="180">
        <f>VLOOKUP(AI30,AE28:AG37,2,FALSE)</f>
        <v>0</v>
      </c>
      <c r="AK30" s="180">
        <f>VLOOKUP(AI30,AE28:AG37,3,FALSE)</f>
        <v>0</v>
      </c>
    </row>
    <row r="31" spans="6:37" x14ac:dyDescent="0.2">
      <c r="F31" t="str">
        <f>AI19</f>
        <v>Ecuador</v>
      </c>
      <c r="J31" s="180">
        <f>AJ19</f>
        <v>0</v>
      </c>
      <c r="K31" s="180">
        <f>VLOOKUP(AI19,$F$16:$M$25,6,FALSE)</f>
        <v>0</v>
      </c>
      <c r="L31" s="180">
        <f>VLOOKUP(AI19,$F$16:$M$25,7,FALSE)</f>
        <v>0</v>
      </c>
      <c r="M31" s="180">
        <f>K31-L31</f>
        <v>0</v>
      </c>
      <c r="O31" t="str">
        <f>F31</f>
        <v>Ecuador</v>
      </c>
      <c r="P31" s="180">
        <f>VLOOKUP(O31,$F$28:$M$37,5,FALSE)</f>
        <v>0</v>
      </c>
      <c r="Q31" s="180">
        <f>VLOOKUP(O31,$F$28:$M$37,8,FALSE)</f>
        <v>0</v>
      </c>
      <c r="S31" t="str">
        <f>O31</f>
        <v>Ecuador</v>
      </c>
      <c r="T31" s="180">
        <f>VLOOKUP(S31,$O$28:$Q$37,2,FALSE)</f>
        <v>0</v>
      </c>
      <c r="U31" s="180">
        <f>VLOOKUP(S31,$O$28:$Q$37,3,FALSE)</f>
        <v>0</v>
      </c>
      <c r="W31" t="str">
        <f>IF(AND(T28=T31,U31&gt;U28),S28,S31)</f>
        <v>Ecuador</v>
      </c>
      <c r="X31" s="180">
        <f>VLOOKUP(W31,$S$28:$U$37,2,FALSE)</f>
        <v>0</v>
      </c>
      <c r="Y31" s="180">
        <f>VLOOKUP(W31,$S$28:$U$37,3,FALSE)</f>
        <v>0</v>
      </c>
      <c r="AA31" t="str">
        <f>W31</f>
        <v>Ecuador</v>
      </c>
      <c r="AB31" s="180">
        <f>VLOOKUP(AA31,W28:Y37,2,FALSE)</f>
        <v>0</v>
      </c>
      <c r="AC31" s="180">
        <f>VLOOKUP(AA31,W28:Y37,3,FALSE)</f>
        <v>0</v>
      </c>
      <c r="AE31" t="str">
        <f>IF(AND(AB29=AB31,AC31&gt;AC29),AA29,AA31)</f>
        <v>Ecuador</v>
      </c>
      <c r="AF31" s="180">
        <f>VLOOKUP(AE31,AA28:AC37,2,FALSE)</f>
        <v>0</v>
      </c>
      <c r="AG31" s="180">
        <f>VLOOKUP(AE31,AA28:AC37,3,FALSE)</f>
        <v>0</v>
      </c>
      <c r="AI31" t="str">
        <f>IF(AND(AF30=AF31,AG31&gt;AG30),AE30,AE31)</f>
        <v>Ecuador</v>
      </c>
      <c r="AJ31" s="180">
        <f>VLOOKUP(AI31,AE28:AG37,2,FALSE)</f>
        <v>0</v>
      </c>
      <c r="AK31" s="180">
        <f>VLOOKUP(AI31,AE28:AG37,3,FALSE)</f>
        <v>0</v>
      </c>
    </row>
    <row r="40" spans="6:38" x14ac:dyDescent="0.2">
      <c r="F40" t="str">
        <f>AI28</f>
        <v>Alemania</v>
      </c>
      <c r="J40" s="180">
        <f>VLOOKUP(F40,$F$16:$M$25,8,FALSE)</f>
        <v>0</v>
      </c>
      <c r="K40" s="180">
        <f>VLOOKUP(F40,$F$16:$M$25,6,FALSE)</f>
        <v>0</v>
      </c>
      <c r="L40" s="180">
        <f>VLOOKUP(F40,$F$16:$M$25,7,FALSE)</f>
        <v>0</v>
      </c>
      <c r="M40" s="180">
        <f>K40-L40</f>
        <v>0</v>
      </c>
      <c r="O40" t="str">
        <f>IF(AND(J40=J41,M40=M41,K41&gt;K40),F41,F40)</f>
        <v>Alemania</v>
      </c>
      <c r="P40" s="180">
        <f>VLOOKUP(O40,$F$40:$M$49,5,FALSE)</f>
        <v>0</v>
      </c>
      <c r="Q40" s="180">
        <f>VLOOKUP(O40,$F$40:$M$49,8,FALSE)</f>
        <v>0</v>
      </c>
      <c r="R40" s="180">
        <f>VLOOKUP(O40,$F$40:$M$49,6,FALSE)</f>
        <v>0</v>
      </c>
      <c r="S40" t="str">
        <f>IF(AND(P40=P42,Q40=Q42,R42&gt;R40),O42,O40)</f>
        <v>Alemania</v>
      </c>
      <c r="T40" s="180">
        <f>VLOOKUP(S40,$O$40:$R$49,2,FALSE)</f>
        <v>0</v>
      </c>
      <c r="U40" s="180">
        <f>VLOOKUP(S40,$O$40:$R$49,3,FALSE)</f>
        <v>0</v>
      </c>
      <c r="V40" s="180">
        <f>VLOOKUP(S40,$O$40:$R$49,4,FALSE)</f>
        <v>0</v>
      </c>
      <c r="W40" t="str">
        <f>IF(AND(T40=T43,U40=U43,V43&gt;V40),S43,S40)</f>
        <v>Alemania</v>
      </c>
      <c r="X40" s="180">
        <f>VLOOKUP(W40,$S$40:$V$49,2,FALSE)</f>
        <v>0</v>
      </c>
      <c r="Y40" s="180">
        <f>VLOOKUP(W40,$S$40:$V$49,3,FALSE)</f>
        <v>0</v>
      </c>
      <c r="Z40" s="180">
        <f>VLOOKUP(W40,$S$40:$V$49,4,FALSE)</f>
        <v>0</v>
      </c>
      <c r="AA40" t="str">
        <f>W40</f>
        <v>Alemania</v>
      </c>
      <c r="AB40" s="180">
        <f>VLOOKUP(AA40,W40:Z49,2,FALSE)</f>
        <v>0</v>
      </c>
      <c r="AC40" s="180">
        <f>VLOOKUP(AA40,W40:Z49,3,FALSE)</f>
        <v>0</v>
      </c>
      <c r="AD40" s="180">
        <f>VLOOKUP(AA40,W40:Z49,4,FALSE)</f>
        <v>0</v>
      </c>
      <c r="AE40" t="str">
        <f>AA40</f>
        <v>Alemania</v>
      </c>
      <c r="AF40" s="180">
        <f>VLOOKUP(AE40,AA40:AD49,2,FALSE)</f>
        <v>0</v>
      </c>
      <c r="AG40" s="180">
        <f>VLOOKUP(AE40,AA40:AD49,3,FALSE)</f>
        <v>0</v>
      </c>
      <c r="AH40" s="180">
        <f>VLOOKUP(AE40,AA40:AD49,4,FALSE)</f>
        <v>0</v>
      </c>
      <c r="AI40" t="str">
        <f>AE40</f>
        <v>Alemania</v>
      </c>
      <c r="AJ40" s="180">
        <f>VLOOKUP(AI40,AE40:AH49,2,FALSE)</f>
        <v>0</v>
      </c>
      <c r="AK40" s="180">
        <f>VLOOKUP(AI40,AE40:AH49,3,FALSE)</f>
        <v>0</v>
      </c>
      <c r="AL40" s="180">
        <f>VLOOKUP(AI40,AE40:AH49,4,FALSE)</f>
        <v>0</v>
      </c>
    </row>
    <row r="41" spans="6:38" x14ac:dyDescent="0.2">
      <c r="F41" t="str">
        <f>AI29</f>
        <v>Costa Rica</v>
      </c>
      <c r="J41" s="180">
        <f>VLOOKUP(F41,$F$16:$M$25,8,FALSE)</f>
        <v>0</v>
      </c>
      <c r="K41" s="180">
        <f>VLOOKUP(F41,$F$16:$M$25,6,FALSE)</f>
        <v>0</v>
      </c>
      <c r="L41" s="180">
        <f>VLOOKUP(F41,$F$16:$M$25,7,FALSE)</f>
        <v>0</v>
      </c>
      <c r="M41" s="180">
        <f>K41-L41</f>
        <v>0</v>
      </c>
      <c r="O41" t="str">
        <f>IF(AND(J40=J41,M40=M41,K41&gt;K40),F40,F41)</f>
        <v>Costa Rica</v>
      </c>
      <c r="P41" s="180">
        <f>VLOOKUP(O41,$F$40:$M$49,5,FALSE)</f>
        <v>0</v>
      </c>
      <c r="Q41" s="180">
        <f>VLOOKUP(O41,$F$40:$M$49,8,FALSE)</f>
        <v>0</v>
      </c>
      <c r="R41" s="180">
        <f>VLOOKUP(O41,$F$40:$M$49,6,FALSE)</f>
        <v>0</v>
      </c>
      <c r="S41" t="str">
        <f>O41</f>
        <v>Costa Rica</v>
      </c>
      <c r="T41" s="180">
        <f>VLOOKUP(S41,$O$40:$R$49,2,FALSE)</f>
        <v>0</v>
      </c>
      <c r="U41" s="180">
        <f>VLOOKUP(S41,$O$40:$R$49,3,FALSE)</f>
        <v>0</v>
      </c>
      <c r="V41" s="180">
        <f>VLOOKUP(S41,$O$40:$R$49,4,FALSE)</f>
        <v>0</v>
      </c>
      <c r="W41" t="str">
        <f>S41</f>
        <v>Costa Rica</v>
      </c>
      <c r="X41" s="180">
        <f>VLOOKUP(W41,$S$40:$V$49,2,FALSE)</f>
        <v>0</v>
      </c>
      <c r="Y41" s="180">
        <f>VLOOKUP(W41,$S$40:$V$49,3,FALSE)</f>
        <v>0</v>
      </c>
      <c r="Z41" s="180">
        <f>VLOOKUP(W41,$S$40:$V$49,4,FALSE)</f>
        <v>0</v>
      </c>
      <c r="AA41" t="str">
        <f>IF(AND(X41=X42,Y41=Y42,Z42&gt;Z41),W42,W41)</f>
        <v>Costa Rica</v>
      </c>
      <c r="AB41" s="180">
        <f>VLOOKUP(AA41,W40:Z49,2,FALSE)</f>
        <v>0</v>
      </c>
      <c r="AC41" s="180">
        <f>VLOOKUP(AA41,W40:Z49,3,FALSE)</f>
        <v>0</v>
      </c>
      <c r="AD41" s="180">
        <f>VLOOKUP(AA41,W40:Z49,4,FALSE)</f>
        <v>0</v>
      </c>
      <c r="AE41" t="str">
        <f>IF(AND(AB41=AB43,AC41=AC43,AD43&gt;AD41),AA43,AA41)</f>
        <v>Costa Rica</v>
      </c>
      <c r="AF41" s="180">
        <f>VLOOKUP(AE41,AA40:AD49,2,FALSE)</f>
        <v>0</v>
      </c>
      <c r="AG41" s="180">
        <f>VLOOKUP(AE41,AA40:AD49,3,FALSE)</f>
        <v>0</v>
      </c>
      <c r="AH41" s="180">
        <f>VLOOKUP(AE41,AA40:AD49,4,FALSE)</f>
        <v>0</v>
      </c>
      <c r="AI41" t="str">
        <f>AE41</f>
        <v>Costa Rica</v>
      </c>
      <c r="AJ41" s="180">
        <f>VLOOKUP(AI41,AE40:AH49,2,FALSE)</f>
        <v>0</v>
      </c>
      <c r="AK41" s="180">
        <f>VLOOKUP(AI41,AE40:AH49,3,FALSE)</f>
        <v>0</v>
      </c>
      <c r="AL41" s="180">
        <f>VLOOKUP(AI41,AE40:AH49,4,FALSE)</f>
        <v>0</v>
      </c>
    </row>
    <row r="42" spans="6:38" x14ac:dyDescent="0.2">
      <c r="F42" t="str">
        <f>AI30</f>
        <v>Polonia</v>
      </c>
      <c r="J42" s="180">
        <f>VLOOKUP(F42,$F$16:$M$25,8,FALSE)</f>
        <v>0</v>
      </c>
      <c r="K42" s="180">
        <f>VLOOKUP(F42,$F$16:$M$25,6,FALSE)</f>
        <v>0</v>
      </c>
      <c r="L42" s="180">
        <f>VLOOKUP(F42,$F$16:$M$25,7,FALSE)</f>
        <v>0</v>
      </c>
      <c r="M42" s="180">
        <f>K42-L42</f>
        <v>0</v>
      </c>
      <c r="O42" t="str">
        <f>F42</f>
        <v>Polonia</v>
      </c>
      <c r="P42" s="180">
        <f>VLOOKUP(O42,$F$40:$M$49,5,FALSE)</f>
        <v>0</v>
      </c>
      <c r="Q42" s="180">
        <f>VLOOKUP(O42,$F$40:$M$49,8,FALSE)</f>
        <v>0</v>
      </c>
      <c r="R42" s="180">
        <f>VLOOKUP(O42,$F$40:$M$49,6,FALSE)</f>
        <v>0</v>
      </c>
      <c r="S42" t="str">
        <f>IF(AND(P40=P42,Q40=Q42,R42&gt;R40),O40,O42)</f>
        <v>Polonia</v>
      </c>
      <c r="T42" s="180">
        <f>VLOOKUP(S42,$O$40:$R$49,2,FALSE)</f>
        <v>0</v>
      </c>
      <c r="U42" s="180">
        <f>VLOOKUP(S42,$O$40:$R$49,3,FALSE)</f>
        <v>0</v>
      </c>
      <c r="V42" s="180">
        <f>VLOOKUP(S42,$O$40:$R$49,4,FALSE)</f>
        <v>0</v>
      </c>
      <c r="W42" t="str">
        <f>S42</f>
        <v>Polonia</v>
      </c>
      <c r="X42" s="180">
        <f>VLOOKUP(W42,$S$40:$V$49,2,FALSE)</f>
        <v>0</v>
      </c>
      <c r="Y42" s="180">
        <f>VLOOKUP(W42,$S$40:$V$49,3,FALSE)</f>
        <v>0</v>
      </c>
      <c r="Z42" s="180">
        <f>VLOOKUP(W42,$S$40:$V$49,4,FALSE)</f>
        <v>0</v>
      </c>
      <c r="AA42" t="str">
        <f>IF(AND(X41=X42,Y41=Y42,Z42&gt;Z41),W41,W42)</f>
        <v>Polonia</v>
      </c>
      <c r="AB42" s="180">
        <f>VLOOKUP(AA42,W40:Z49,2,FALSE)</f>
        <v>0</v>
      </c>
      <c r="AC42" s="180">
        <f>VLOOKUP(AA42,W40:Z49,3,FALSE)</f>
        <v>0</v>
      </c>
      <c r="AD42" s="180">
        <f>VLOOKUP(AA42,W40:Z49,4,FALSE)</f>
        <v>0</v>
      </c>
      <c r="AE42" t="str">
        <f>AA42</f>
        <v>Polonia</v>
      </c>
      <c r="AF42" s="180">
        <f>VLOOKUP(AE42,AA40:AD49,2,FALSE)</f>
        <v>0</v>
      </c>
      <c r="AG42" s="180">
        <f>VLOOKUP(AE42,AA40:AD49,3,FALSE)</f>
        <v>0</v>
      </c>
      <c r="AH42" s="180">
        <f>VLOOKUP(AE42,AA40:AD49,4,FALSE)</f>
        <v>0</v>
      </c>
      <c r="AI42" t="str">
        <f>IF(AND(AF42=AF43,AG42=AG43,AH43&gt;AH42),AE43,AE42)</f>
        <v>Polonia</v>
      </c>
      <c r="AJ42" s="180">
        <f>VLOOKUP(AI42,AE40:AH49,2,FALSE)</f>
        <v>0</v>
      </c>
      <c r="AK42" s="180">
        <f>VLOOKUP(AI42,AE40:AH49,3,FALSE)</f>
        <v>0</v>
      </c>
      <c r="AL42" s="180">
        <f>VLOOKUP(AI42,AE40:AH49,4,FALSE)</f>
        <v>0</v>
      </c>
    </row>
    <row r="43" spans="6:38" x14ac:dyDescent="0.2">
      <c r="F43" t="str">
        <f>AI31</f>
        <v>Ecuador</v>
      </c>
      <c r="J43" s="180">
        <f>VLOOKUP(F43,$F$16:$M$25,8,FALSE)</f>
        <v>0</v>
      </c>
      <c r="K43" s="180">
        <f>VLOOKUP(F43,$F$16:$M$25,6,FALSE)</f>
        <v>0</v>
      </c>
      <c r="L43" s="180">
        <f>VLOOKUP(F43,$F$16:$M$25,7,FALSE)</f>
        <v>0</v>
      </c>
      <c r="M43" s="180">
        <f>K43-L43</f>
        <v>0</v>
      </c>
      <c r="O43" t="str">
        <f>F43</f>
        <v>Ecuador</v>
      </c>
      <c r="P43" s="180">
        <f>VLOOKUP(O43,$F$40:$M$49,5,FALSE)</f>
        <v>0</v>
      </c>
      <c r="Q43" s="180">
        <f>VLOOKUP(O43,$F$40:$M$49,8,FALSE)</f>
        <v>0</v>
      </c>
      <c r="R43" s="180">
        <f>VLOOKUP(O43,$F$40:$M$49,6,FALSE)</f>
        <v>0</v>
      </c>
      <c r="S43" t="str">
        <f>O43</f>
        <v>Ecuador</v>
      </c>
      <c r="T43" s="180">
        <f>VLOOKUP(S43,$O$40:$R$49,2,FALSE)</f>
        <v>0</v>
      </c>
      <c r="U43" s="180">
        <f>VLOOKUP(S43,$O$40:$R$49,3,FALSE)</f>
        <v>0</v>
      </c>
      <c r="V43" s="180">
        <f>VLOOKUP(S43,$O$40:$R$49,4,FALSE)</f>
        <v>0</v>
      </c>
      <c r="W43" t="str">
        <f>IF(AND(T40=T43,U40=U43,V43&gt;V40),S40,S43)</f>
        <v>Ecuador</v>
      </c>
      <c r="X43" s="180">
        <f>VLOOKUP(W43,$S$40:$V$49,2,FALSE)</f>
        <v>0</v>
      </c>
      <c r="Y43" s="180">
        <f>VLOOKUP(W43,$S$40:$V$49,3,FALSE)</f>
        <v>0</v>
      </c>
      <c r="Z43" s="180">
        <f>VLOOKUP(W43,$S$40:$V$49,4,FALSE)</f>
        <v>0</v>
      </c>
      <c r="AA43" t="str">
        <f>W43</f>
        <v>Ecuador</v>
      </c>
      <c r="AB43" s="180">
        <f>VLOOKUP(AA43,W40:Z49,2,FALSE)</f>
        <v>0</v>
      </c>
      <c r="AC43" s="180">
        <f>VLOOKUP(AA43,W40:Z49,3,FALSE)</f>
        <v>0</v>
      </c>
      <c r="AD43" s="180">
        <f>VLOOKUP(AA43,W40:Z49,4,FALSE)</f>
        <v>0</v>
      </c>
      <c r="AE43" t="str">
        <f>IF(AND(AB41=AB43,AC41=AC43,AD43&gt;AD41),AA41,AA43)</f>
        <v>Ecuador</v>
      </c>
      <c r="AF43" s="180">
        <f>VLOOKUP(AE43,AA40:AD49,2,FALSE)</f>
        <v>0</v>
      </c>
      <c r="AG43" s="180">
        <f>VLOOKUP(AE43,AA40:AD49,3,FALSE)</f>
        <v>0</v>
      </c>
      <c r="AH43" s="180">
        <f>VLOOKUP(AE43,AA40:AD49,4,FALSE)</f>
        <v>0</v>
      </c>
      <c r="AI43" t="str">
        <f>IF(AND(AF42=AF43,AG42=AG43,AH43&gt;AH42),AE42,AE43)</f>
        <v>Ecuador</v>
      </c>
      <c r="AJ43" s="180">
        <f>VLOOKUP(AI43,AE40:AH49,2,FALSE)</f>
        <v>0</v>
      </c>
      <c r="AK43" s="180">
        <f>VLOOKUP(AI43,AE40:AH49,3,FALSE)</f>
        <v>0</v>
      </c>
      <c r="AL43" s="180">
        <f>VLOOKUP(AI43,AE40:AH49,4,FALSE)</f>
        <v>0</v>
      </c>
    </row>
    <row r="51" spans="6:13" x14ac:dyDescent="0.2">
      <c r="F51" t="s">
        <v>162</v>
      </c>
    </row>
    <row r="52" spans="6:13" x14ac:dyDescent="0.2">
      <c r="F52" t="str">
        <f>AI40</f>
        <v>Alemania</v>
      </c>
      <c r="G52" s="180">
        <f>VLOOKUP(F52,$F$16:$M$25,2,FALSE)</f>
        <v>0</v>
      </c>
      <c r="H52" s="180">
        <f>VLOOKUP(F52,$F$16:$M$25,3,FALSE)</f>
        <v>0</v>
      </c>
      <c r="I52" s="180">
        <f>VLOOKUP(F52,$F$16:$M$25,4,FALSE)</f>
        <v>0</v>
      </c>
      <c r="J52" s="180">
        <f>VLOOKUP(F52,$F$16:$M$25,5,FALSE)</f>
        <v>0</v>
      </c>
      <c r="K52" s="180">
        <f>VLOOKUP(F52,$F$16:$M$25,6,FALSE)</f>
        <v>0</v>
      </c>
      <c r="L52" s="180">
        <f>VLOOKUP(F52,$F$16:$M$25,7,FALSE)</f>
        <v>0</v>
      </c>
      <c r="M52" s="180">
        <f>VLOOKUP(F52,$F$16:$M$25,8,FALSE)</f>
        <v>0</v>
      </c>
    </row>
    <row r="53" spans="6:13" x14ac:dyDescent="0.2">
      <c r="F53" t="str">
        <f>AI41</f>
        <v>Costa Rica</v>
      </c>
      <c r="G53" s="180">
        <f>VLOOKUP(F53,$F$16:$M$25,2,FALSE)</f>
        <v>0</v>
      </c>
      <c r="H53" s="180">
        <f>VLOOKUP(F53,$F$16:$M$25,3,FALSE)</f>
        <v>0</v>
      </c>
      <c r="I53" s="180">
        <f>VLOOKUP(F53,$F$16:$M$25,4,FALSE)</f>
        <v>0</v>
      </c>
      <c r="J53" s="180">
        <f>VLOOKUP(F53,$F$16:$M$25,5,FALSE)</f>
        <v>0</v>
      </c>
      <c r="K53" s="180">
        <f>VLOOKUP(F53,$F$16:$M$25,6,FALSE)</f>
        <v>0</v>
      </c>
      <c r="L53" s="180">
        <f>VLOOKUP(F53,$F$16:$M$25,7,FALSE)</f>
        <v>0</v>
      </c>
      <c r="M53" s="180">
        <f>VLOOKUP(F53,$F$16:$M$25,8,FALSE)</f>
        <v>0</v>
      </c>
    </row>
    <row r="54" spans="6:13" x14ac:dyDescent="0.2">
      <c r="F54" t="str">
        <f>AI42</f>
        <v>Polonia</v>
      </c>
      <c r="G54" s="180">
        <f>VLOOKUP(F54,$F$16:$M$25,2,FALSE)</f>
        <v>0</v>
      </c>
      <c r="H54" s="180">
        <f>VLOOKUP(F54,$F$16:$M$25,3,FALSE)</f>
        <v>0</v>
      </c>
      <c r="I54" s="180">
        <f>VLOOKUP(F54,$F$16:$M$25,4,FALSE)</f>
        <v>0</v>
      </c>
      <c r="J54" s="180">
        <f>VLOOKUP(F54,$F$16:$M$25,5,FALSE)</f>
        <v>0</v>
      </c>
      <c r="K54" s="180">
        <f>VLOOKUP(F54,$F$16:$M$25,6,FALSE)</f>
        <v>0</v>
      </c>
      <c r="L54" s="180">
        <f>VLOOKUP(F54,$F$16:$M$25,7,FALSE)</f>
        <v>0</v>
      </c>
      <c r="M54" s="180">
        <f>VLOOKUP(F54,$F$16:$M$25,8,FALSE)</f>
        <v>0</v>
      </c>
    </row>
    <row r="55" spans="6:13" x14ac:dyDescent="0.2">
      <c r="F55" t="str">
        <f>AI43</f>
        <v>Ecuador</v>
      </c>
      <c r="G55" s="180">
        <f>VLOOKUP(F55,$F$16:$M$25,2,FALSE)</f>
        <v>0</v>
      </c>
      <c r="H55" s="180">
        <f>VLOOKUP(F55,$F$16:$M$25,3,FALSE)</f>
        <v>0</v>
      </c>
      <c r="I55" s="180">
        <f>VLOOKUP(F55,$F$16:$M$25,4,FALSE)</f>
        <v>0</v>
      </c>
      <c r="J55" s="180">
        <f>VLOOKUP(F55,$F$16:$M$25,5,FALSE)</f>
        <v>0</v>
      </c>
      <c r="K55" s="180">
        <f>VLOOKUP(F55,$F$16:$M$25,6,FALSE)</f>
        <v>0</v>
      </c>
      <c r="L55" s="180">
        <f>VLOOKUP(F55,$F$16:$M$25,7,FALSE)</f>
        <v>0</v>
      </c>
      <c r="M55" s="180">
        <f>VLOOKUP(F55,$F$16:$M$25,8,FALSE)</f>
        <v>0</v>
      </c>
    </row>
  </sheetData>
  <mergeCells count="1">
    <mergeCell ref="A2:E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55"/>
  <sheetViews>
    <sheetView showGridLines="0" showRowColHeaders="0" showOutlineSymbols="0" workbookViewId="0">
      <pane xSplit="5" topLeftCell="F1" activePane="topRight" state="frozen"/>
      <selection pane="topRight"/>
    </sheetView>
  </sheetViews>
  <sheetFormatPr baseColWidth="10" defaultColWidth="3.7109375" defaultRowHeight="12.75" x14ac:dyDescent="0.2"/>
  <cols>
    <col min="1" max="1" width="9.140625" customWidth="1"/>
    <col min="2" max="2" width="2.7109375" customWidth="1"/>
    <col min="3" max="3" width="1.5703125" customWidth="1"/>
    <col min="4" max="4" width="2.7109375" customWidth="1"/>
    <col min="5" max="5" width="9.140625" customWidth="1"/>
    <col min="6" max="6" width="10.85546875" customWidth="1"/>
  </cols>
  <sheetData>
    <row r="2" spans="1:36" x14ac:dyDescent="0.2">
      <c r="A2" s="219" t="s">
        <v>146</v>
      </c>
      <c r="B2" s="219"/>
      <c r="C2" s="219"/>
      <c r="D2" s="219"/>
      <c r="E2" s="219"/>
      <c r="G2" t="str">
        <f>'Grupo B'!Q7</f>
        <v>Inglaterra</v>
      </c>
      <c r="N2" t="str">
        <f>'Grupo B'!Q9</f>
        <v>Paraguay</v>
      </c>
      <c r="U2" t="str">
        <f>'Grupo B'!Q11</f>
        <v>Trinidad. y Tobago</v>
      </c>
      <c r="AB2" t="str">
        <f>'Grupo B'!Q13</f>
        <v>Suecia</v>
      </c>
    </row>
    <row r="3" spans="1:36" x14ac:dyDescent="0.2">
      <c r="F3" t="s">
        <v>147</v>
      </c>
      <c r="G3" t="s">
        <v>148</v>
      </c>
      <c r="H3" t="s">
        <v>149</v>
      </c>
      <c r="I3" t="s">
        <v>150</v>
      </c>
      <c r="J3" t="s">
        <v>151</v>
      </c>
      <c r="K3" t="s">
        <v>152</v>
      </c>
      <c r="L3" t="s">
        <v>153</v>
      </c>
      <c r="N3" t="s">
        <v>148</v>
      </c>
      <c r="O3" t="s">
        <v>149</v>
      </c>
      <c r="P3" t="s">
        <v>150</v>
      </c>
      <c r="Q3" t="s">
        <v>151</v>
      </c>
      <c r="R3" t="s">
        <v>152</v>
      </c>
      <c r="S3" t="s">
        <v>153</v>
      </c>
      <c r="U3" t="s">
        <v>148</v>
      </c>
      <c r="V3" t="s">
        <v>149</v>
      </c>
      <c r="W3" t="s">
        <v>150</v>
      </c>
      <c r="X3" t="s">
        <v>151</v>
      </c>
      <c r="Y3" t="s">
        <v>152</v>
      </c>
      <c r="Z3" t="s">
        <v>153</v>
      </c>
      <c r="AB3" t="s">
        <v>148</v>
      </c>
      <c r="AC3" t="s">
        <v>149</v>
      </c>
      <c r="AD3" t="s">
        <v>150</v>
      </c>
      <c r="AE3" t="s">
        <v>151</v>
      </c>
      <c r="AF3" t="s">
        <v>152</v>
      </c>
      <c r="AG3" t="s">
        <v>153</v>
      </c>
    </row>
    <row r="4" spans="1:36" x14ac:dyDescent="0.2">
      <c r="A4" s="177" t="str">
        <f>'Grupo B'!B6</f>
        <v>Inglaterra</v>
      </c>
      <c r="B4" s="178">
        <f>'Grupo B'!C6</f>
        <v>3</v>
      </c>
      <c r="C4" s="178" t="str">
        <f>'Grupo B'!D6</f>
        <v>-</v>
      </c>
      <c r="D4" s="178">
        <f>'Grupo B'!E6</f>
        <v>3</v>
      </c>
      <c r="E4" s="179" t="str">
        <f>'Grupo B'!F6</f>
        <v>Paraguay</v>
      </c>
      <c r="F4" s="178">
        <f>COUNTBLANK('Grupo B'!C6:E6)</f>
        <v>0</v>
      </c>
      <c r="G4" s="180">
        <f t="shared" ref="G4:G9" si="0">IF(AND(F4=0,OR($A4=$G$2,$E4=$G$2)),1,0)</f>
        <v>1</v>
      </c>
      <c r="H4" s="180">
        <f t="shared" ref="H4:H9" si="1">IF(AND(F4=0,OR(AND($A4=$G$2,$B4&gt;$D4),AND($E4=$G$2,$D4&gt;$B4))),1,0)</f>
        <v>0</v>
      </c>
      <c r="I4" s="180">
        <f t="shared" ref="I4:I9" si="2">IF(AND(F4=0,G4=1,$B4=$D4),1,0)</f>
        <v>1</v>
      </c>
      <c r="J4" s="180">
        <f t="shared" ref="J4:J9" si="3">IF(AND(F4=0,OR(AND($A4=$G$2,$B4&lt;$D4),AND($E4=$G$2,$D4&lt;$B4))),1,0)</f>
        <v>0</v>
      </c>
      <c r="K4" s="180">
        <f t="shared" ref="K4:K9" si="4">IF(F4&gt;0,0,IF($A4=$G$2,$B4,IF($E4=$G$2,$D4,0)))</f>
        <v>3</v>
      </c>
      <c r="L4" s="180">
        <f t="shared" ref="L4:L9" si="5">IF(F4&gt;0,0,IF($A4=$G$2,$D4,IF($E4=$G$2,$B4,0)))</f>
        <v>3</v>
      </c>
      <c r="N4" s="180">
        <f t="shared" ref="N4:N9" si="6">IF(AND(F4=0,OR($A4=$N$2,$E4=$N$2)),1,0)</f>
        <v>1</v>
      </c>
      <c r="O4" s="180">
        <f t="shared" ref="O4:O9" si="7">IF(AND(F4=0,OR(AND($A4=$N$2,$B4&gt;$D4),AND($E4=$N$2,$D4&gt;$B4))),1,0)</f>
        <v>0</v>
      </c>
      <c r="P4" s="180">
        <f t="shared" ref="P4:P9" si="8">IF(AND(F4=0,N4=1,$B4=$D4),1,0)</f>
        <v>1</v>
      </c>
      <c r="Q4" s="180">
        <f t="shared" ref="Q4:Q9" si="9">IF(AND(F4=0,OR(AND($A4=$N$2,$B4&lt;$D4),AND($E4=$N$2,$D4&lt;$B4))),1,0)</f>
        <v>0</v>
      </c>
      <c r="R4" s="180">
        <f t="shared" ref="R4:R9" si="10">IF(F4&gt;0,0,IF($A4=$N$2,$B4,IF($E4=$N$2,$D4,0)))</f>
        <v>3</v>
      </c>
      <c r="S4" s="180">
        <f t="shared" ref="S4:S9" si="11">IF(F4&gt;0,0,IF($A4=$N$2,$D4,IF($E4=$N$2,$B4,0)))</f>
        <v>3</v>
      </c>
      <c r="U4" s="180">
        <f t="shared" ref="U4:U9" si="12">IF(AND(F4=0,OR($A4=$U$2,$E4=$U$2)),1,0)</f>
        <v>0</v>
      </c>
      <c r="V4" s="180">
        <f t="shared" ref="V4:V9" si="13">IF(AND(F4=0,OR(AND($A4=$U$2,$B4&gt;$D4),AND($E4=$U$2,$D4&gt;$B4))),1,0)</f>
        <v>0</v>
      </c>
      <c r="W4" s="180">
        <f t="shared" ref="W4:W9" si="14">IF(AND(F4=0,U4=1,$B4=$D4),1,0)</f>
        <v>0</v>
      </c>
      <c r="X4" s="180">
        <f t="shared" ref="X4:X9" si="15">IF(AND(F4=0,OR(AND($A4=$U$2,$B4&lt;$D4),AND($E4=$U$2,$D4&lt;$B4))),1,0)</f>
        <v>0</v>
      </c>
      <c r="Y4" s="180">
        <f t="shared" ref="Y4:Y9" si="16">IF(F4&gt;0,0,IF($A4=$U$2,$B4,IF($E4=$U$2,$D4,0)))</f>
        <v>0</v>
      </c>
      <c r="Z4" s="180">
        <f t="shared" ref="Z4:Z9" si="17">IF(F4&gt;0,0,IF($A4=$U$2,$D4,IF($E4=$U$2,$B4,0)))</f>
        <v>0</v>
      </c>
      <c r="AB4" s="180">
        <f t="shared" ref="AB4:AB9" si="18">IF(AND(F4=0,OR($A4=$AB$2,$E4=$AB$2)),1,0)</f>
        <v>0</v>
      </c>
      <c r="AC4" s="180">
        <f t="shared" ref="AC4:AC9" si="19">IF(AND(F4=0,OR(AND($A4=$AB$2,$B4&gt;$D4),AND($E4=$AB$2,$D4&gt;$B4))),1,0)</f>
        <v>0</v>
      </c>
      <c r="AD4" s="180">
        <f t="shared" ref="AD4:AD9" si="20">IF(AND(F4=0,AB4=1,$B4=$D4),1,0)</f>
        <v>0</v>
      </c>
      <c r="AE4" s="180">
        <f t="shared" ref="AE4:AE9" si="21">IF(AND(F4=0,OR(AND($A4=$AB$2,$B4&lt;$D4),AND($E4=$AB$2,$D4&lt;$B4))),1,0)</f>
        <v>0</v>
      </c>
      <c r="AF4" s="180">
        <f t="shared" ref="AF4:AF9" si="22">IF(F4&gt;0,0,IF($A4=$AB$2,$B4,IF($E4=$AB$2,$D4,0)))</f>
        <v>0</v>
      </c>
      <c r="AG4" s="180">
        <f t="shared" ref="AG4:AG9" si="23">IF(F4&gt;0,0,IF($A4=$AB$2,$D4,IF($E4=$AB$2,$B4,0)))</f>
        <v>0</v>
      </c>
    </row>
    <row r="5" spans="1:36" x14ac:dyDescent="0.2">
      <c r="A5" s="177" t="str">
        <f>'Grupo B'!B7</f>
        <v>Trinidad. y Tobago</v>
      </c>
      <c r="B5" s="178">
        <f>'Grupo B'!C7</f>
        <v>2</v>
      </c>
      <c r="C5" s="178" t="str">
        <f>'Grupo B'!D7</f>
        <v>-</v>
      </c>
      <c r="D5" s="178">
        <f>'Grupo B'!E7</f>
        <v>2</v>
      </c>
      <c r="E5" s="179" t="str">
        <f>'Grupo B'!F7</f>
        <v>Suecia</v>
      </c>
      <c r="F5" s="178">
        <f>COUNTBLANK('Grupo B'!C7:E7)</f>
        <v>0</v>
      </c>
      <c r="G5" s="180">
        <f t="shared" si="0"/>
        <v>0</v>
      </c>
      <c r="H5" s="180">
        <f t="shared" si="1"/>
        <v>0</v>
      </c>
      <c r="I5" s="180">
        <f t="shared" si="2"/>
        <v>0</v>
      </c>
      <c r="J5" s="180">
        <f t="shared" si="3"/>
        <v>0</v>
      </c>
      <c r="K5" s="180">
        <f t="shared" si="4"/>
        <v>0</v>
      </c>
      <c r="L5" s="180">
        <f t="shared" si="5"/>
        <v>0</v>
      </c>
      <c r="N5" s="180">
        <f t="shared" si="6"/>
        <v>0</v>
      </c>
      <c r="O5" s="180">
        <f t="shared" si="7"/>
        <v>0</v>
      </c>
      <c r="P5" s="180">
        <f t="shared" si="8"/>
        <v>0</v>
      </c>
      <c r="Q5" s="180">
        <f t="shared" si="9"/>
        <v>0</v>
      </c>
      <c r="R5" s="180">
        <f t="shared" si="10"/>
        <v>0</v>
      </c>
      <c r="S5" s="180">
        <f t="shared" si="11"/>
        <v>0</v>
      </c>
      <c r="U5" s="180">
        <f t="shared" si="12"/>
        <v>1</v>
      </c>
      <c r="V5" s="180">
        <f t="shared" si="13"/>
        <v>0</v>
      </c>
      <c r="W5" s="180">
        <f t="shared" si="14"/>
        <v>1</v>
      </c>
      <c r="X5" s="180">
        <f t="shared" si="15"/>
        <v>0</v>
      </c>
      <c r="Y5" s="180">
        <f t="shared" si="16"/>
        <v>2</v>
      </c>
      <c r="Z5" s="180">
        <f t="shared" si="17"/>
        <v>2</v>
      </c>
      <c r="AB5" s="180">
        <f t="shared" si="18"/>
        <v>1</v>
      </c>
      <c r="AC5" s="180">
        <f t="shared" si="19"/>
        <v>0</v>
      </c>
      <c r="AD5" s="180">
        <f t="shared" si="20"/>
        <v>1</v>
      </c>
      <c r="AE5" s="180">
        <f t="shared" si="21"/>
        <v>0</v>
      </c>
      <c r="AF5" s="180">
        <f t="shared" si="22"/>
        <v>2</v>
      </c>
      <c r="AG5" s="180">
        <f t="shared" si="23"/>
        <v>2</v>
      </c>
    </row>
    <row r="6" spans="1:36" x14ac:dyDescent="0.2">
      <c r="A6" s="177" t="str">
        <f>'Grupo B'!B8</f>
        <v>Inglaterra</v>
      </c>
      <c r="B6" s="178">
        <f>'Grupo B'!C8</f>
        <v>3</v>
      </c>
      <c r="C6" s="178" t="str">
        <f>'Grupo B'!D8</f>
        <v>-</v>
      </c>
      <c r="D6" s="178">
        <f>'Grupo B'!E8</f>
        <v>3</v>
      </c>
      <c r="E6" s="179" t="str">
        <f>'Grupo B'!F8</f>
        <v>Trinidad. y Tobago</v>
      </c>
      <c r="F6" s="178">
        <f>COUNTBLANK('Grupo B'!C8:E8)</f>
        <v>0</v>
      </c>
      <c r="G6" s="180">
        <f t="shared" si="0"/>
        <v>1</v>
      </c>
      <c r="H6" s="180">
        <f t="shared" si="1"/>
        <v>0</v>
      </c>
      <c r="I6" s="180">
        <f t="shared" si="2"/>
        <v>1</v>
      </c>
      <c r="J6" s="180">
        <f t="shared" si="3"/>
        <v>0</v>
      </c>
      <c r="K6" s="180">
        <f t="shared" si="4"/>
        <v>3</v>
      </c>
      <c r="L6" s="180">
        <f t="shared" si="5"/>
        <v>3</v>
      </c>
      <c r="N6" s="180">
        <f t="shared" si="6"/>
        <v>0</v>
      </c>
      <c r="O6" s="180">
        <f t="shared" si="7"/>
        <v>0</v>
      </c>
      <c r="P6" s="180">
        <f t="shared" si="8"/>
        <v>0</v>
      </c>
      <c r="Q6" s="180">
        <f t="shared" si="9"/>
        <v>0</v>
      </c>
      <c r="R6" s="180">
        <f t="shared" si="10"/>
        <v>0</v>
      </c>
      <c r="S6" s="180">
        <f t="shared" si="11"/>
        <v>0</v>
      </c>
      <c r="U6" s="180">
        <f t="shared" si="12"/>
        <v>1</v>
      </c>
      <c r="V6" s="180">
        <f t="shared" si="13"/>
        <v>0</v>
      </c>
      <c r="W6" s="180">
        <f t="shared" si="14"/>
        <v>1</v>
      </c>
      <c r="X6" s="180">
        <f t="shared" si="15"/>
        <v>0</v>
      </c>
      <c r="Y6" s="180">
        <f t="shared" si="16"/>
        <v>3</v>
      </c>
      <c r="Z6" s="180">
        <f t="shared" si="17"/>
        <v>3</v>
      </c>
      <c r="AB6" s="180">
        <f t="shared" si="18"/>
        <v>0</v>
      </c>
      <c r="AC6" s="180">
        <f t="shared" si="19"/>
        <v>0</v>
      </c>
      <c r="AD6" s="180">
        <f t="shared" si="20"/>
        <v>0</v>
      </c>
      <c r="AE6" s="180">
        <f t="shared" si="21"/>
        <v>0</v>
      </c>
      <c r="AF6" s="180">
        <f t="shared" si="22"/>
        <v>0</v>
      </c>
      <c r="AG6" s="180">
        <f t="shared" si="23"/>
        <v>0</v>
      </c>
    </row>
    <row r="7" spans="1:36" x14ac:dyDescent="0.2">
      <c r="A7" s="177" t="str">
        <f>'Grupo B'!B9</f>
        <v>Suecia</v>
      </c>
      <c r="B7" s="178">
        <f>'Grupo B'!C9</f>
        <v>5</v>
      </c>
      <c r="C7" s="178" t="str">
        <f>'Grupo B'!D9</f>
        <v>-</v>
      </c>
      <c r="D7" s="178">
        <f>'Grupo B'!E9</f>
        <v>4</v>
      </c>
      <c r="E7" s="179" t="str">
        <f>'Grupo B'!F9</f>
        <v>Paraguay</v>
      </c>
      <c r="F7" s="178">
        <f>COUNTBLANK('Grupo B'!C9:E9)</f>
        <v>0</v>
      </c>
      <c r="G7" s="180">
        <f t="shared" si="0"/>
        <v>0</v>
      </c>
      <c r="H7" s="180">
        <f t="shared" si="1"/>
        <v>0</v>
      </c>
      <c r="I7" s="180">
        <f t="shared" si="2"/>
        <v>0</v>
      </c>
      <c r="J7" s="180">
        <f t="shared" si="3"/>
        <v>0</v>
      </c>
      <c r="K7" s="180">
        <f t="shared" si="4"/>
        <v>0</v>
      </c>
      <c r="L7" s="180">
        <f t="shared" si="5"/>
        <v>0</v>
      </c>
      <c r="N7" s="180">
        <f t="shared" si="6"/>
        <v>1</v>
      </c>
      <c r="O7" s="180">
        <f t="shared" si="7"/>
        <v>0</v>
      </c>
      <c r="P7" s="180">
        <f t="shared" si="8"/>
        <v>0</v>
      </c>
      <c r="Q7" s="180">
        <f t="shared" si="9"/>
        <v>1</v>
      </c>
      <c r="R7" s="180">
        <f t="shared" si="10"/>
        <v>4</v>
      </c>
      <c r="S7" s="180">
        <f t="shared" si="11"/>
        <v>5</v>
      </c>
      <c r="U7" s="180">
        <f t="shared" si="12"/>
        <v>0</v>
      </c>
      <c r="V7" s="180">
        <f t="shared" si="13"/>
        <v>0</v>
      </c>
      <c r="W7" s="180">
        <f t="shared" si="14"/>
        <v>0</v>
      </c>
      <c r="X7" s="180">
        <f t="shared" si="15"/>
        <v>0</v>
      </c>
      <c r="Y7" s="180">
        <f t="shared" si="16"/>
        <v>0</v>
      </c>
      <c r="Z7" s="180">
        <f t="shared" si="17"/>
        <v>0</v>
      </c>
      <c r="AB7" s="180">
        <f t="shared" si="18"/>
        <v>1</v>
      </c>
      <c r="AC7" s="180">
        <f t="shared" si="19"/>
        <v>1</v>
      </c>
      <c r="AD7" s="180">
        <f t="shared" si="20"/>
        <v>0</v>
      </c>
      <c r="AE7" s="180">
        <f t="shared" si="21"/>
        <v>0</v>
      </c>
      <c r="AF7" s="180">
        <f t="shared" si="22"/>
        <v>5</v>
      </c>
      <c r="AG7" s="180">
        <f t="shared" si="23"/>
        <v>4</v>
      </c>
    </row>
    <row r="8" spans="1:36" x14ac:dyDescent="0.2">
      <c r="A8" s="177" t="str">
        <f>'Grupo B'!B10</f>
        <v>Suecia</v>
      </c>
      <c r="B8" s="178">
        <f>'Grupo B'!C10</f>
        <v>0</v>
      </c>
      <c r="C8" s="178" t="str">
        <f>'Grupo B'!D10</f>
        <v>-</v>
      </c>
      <c r="D8" s="178">
        <f>'Grupo B'!E10</f>
        <v>5</v>
      </c>
      <c r="E8" s="179" t="str">
        <f>'Grupo B'!F10</f>
        <v>Inglaterra</v>
      </c>
      <c r="F8" s="178">
        <f>COUNTBLANK('Grupo B'!C10:E10)</f>
        <v>0</v>
      </c>
      <c r="G8" s="180">
        <f t="shared" si="0"/>
        <v>1</v>
      </c>
      <c r="H8" s="180">
        <f t="shared" si="1"/>
        <v>1</v>
      </c>
      <c r="I8" s="180">
        <f t="shared" si="2"/>
        <v>0</v>
      </c>
      <c r="J8" s="180">
        <f t="shared" si="3"/>
        <v>0</v>
      </c>
      <c r="K8" s="180">
        <f t="shared" si="4"/>
        <v>5</v>
      </c>
      <c r="L8" s="180">
        <f t="shared" si="5"/>
        <v>0</v>
      </c>
      <c r="N8" s="180">
        <f t="shared" si="6"/>
        <v>0</v>
      </c>
      <c r="O8" s="180">
        <f t="shared" si="7"/>
        <v>0</v>
      </c>
      <c r="P8" s="180">
        <f t="shared" si="8"/>
        <v>0</v>
      </c>
      <c r="Q8" s="180">
        <f t="shared" si="9"/>
        <v>0</v>
      </c>
      <c r="R8" s="180">
        <f t="shared" si="10"/>
        <v>0</v>
      </c>
      <c r="S8" s="180">
        <f t="shared" si="11"/>
        <v>0</v>
      </c>
      <c r="U8" s="180">
        <f t="shared" si="12"/>
        <v>0</v>
      </c>
      <c r="V8" s="180">
        <f t="shared" si="13"/>
        <v>0</v>
      </c>
      <c r="W8" s="180">
        <f t="shared" si="14"/>
        <v>0</v>
      </c>
      <c r="X8" s="180">
        <f t="shared" si="15"/>
        <v>0</v>
      </c>
      <c r="Y8" s="180">
        <f t="shared" si="16"/>
        <v>0</v>
      </c>
      <c r="Z8" s="180">
        <f t="shared" si="17"/>
        <v>0</v>
      </c>
      <c r="AB8" s="180">
        <f t="shared" si="18"/>
        <v>1</v>
      </c>
      <c r="AC8" s="180">
        <f t="shared" si="19"/>
        <v>0</v>
      </c>
      <c r="AD8" s="180">
        <f t="shared" si="20"/>
        <v>0</v>
      </c>
      <c r="AE8" s="180">
        <f t="shared" si="21"/>
        <v>1</v>
      </c>
      <c r="AF8" s="180">
        <f t="shared" si="22"/>
        <v>0</v>
      </c>
      <c r="AG8" s="180">
        <f t="shared" si="23"/>
        <v>5</v>
      </c>
    </row>
    <row r="9" spans="1:36" x14ac:dyDescent="0.2">
      <c r="A9" s="177" t="str">
        <f>'Grupo B'!B11</f>
        <v>Paraguay</v>
      </c>
      <c r="B9" s="178">
        <f>'Grupo B'!C11</f>
        <v>3</v>
      </c>
      <c r="C9" s="178" t="str">
        <f>'Grupo B'!D11</f>
        <v>-</v>
      </c>
      <c r="D9" s="178">
        <f>'Grupo B'!E11</f>
        <v>3</v>
      </c>
      <c r="E9" s="179" t="str">
        <f>'Grupo B'!F11</f>
        <v>Trinidad. y Tobago</v>
      </c>
      <c r="F9" s="178">
        <f>COUNTBLANK('Grupo B'!C11:E11)</f>
        <v>0</v>
      </c>
      <c r="G9" s="180">
        <f t="shared" si="0"/>
        <v>0</v>
      </c>
      <c r="H9" s="180">
        <f t="shared" si="1"/>
        <v>0</v>
      </c>
      <c r="I9" s="180">
        <f t="shared" si="2"/>
        <v>0</v>
      </c>
      <c r="J9" s="180">
        <f t="shared" si="3"/>
        <v>0</v>
      </c>
      <c r="K9" s="180">
        <f t="shared" si="4"/>
        <v>0</v>
      </c>
      <c r="L9" s="180">
        <f t="shared" si="5"/>
        <v>0</v>
      </c>
      <c r="N9" s="180">
        <f t="shared" si="6"/>
        <v>1</v>
      </c>
      <c r="O9" s="180">
        <f t="shared" si="7"/>
        <v>0</v>
      </c>
      <c r="P9" s="180">
        <f t="shared" si="8"/>
        <v>1</v>
      </c>
      <c r="Q9" s="180">
        <f t="shared" si="9"/>
        <v>0</v>
      </c>
      <c r="R9" s="180">
        <f t="shared" si="10"/>
        <v>3</v>
      </c>
      <c r="S9" s="180">
        <f t="shared" si="11"/>
        <v>3</v>
      </c>
      <c r="U9" s="180">
        <f t="shared" si="12"/>
        <v>1</v>
      </c>
      <c r="V9" s="180">
        <f t="shared" si="13"/>
        <v>0</v>
      </c>
      <c r="W9" s="180">
        <f t="shared" si="14"/>
        <v>1</v>
      </c>
      <c r="X9" s="180">
        <f t="shared" si="15"/>
        <v>0</v>
      </c>
      <c r="Y9" s="180">
        <f t="shared" si="16"/>
        <v>3</v>
      </c>
      <c r="Z9" s="180">
        <f t="shared" si="17"/>
        <v>3</v>
      </c>
      <c r="AB9" s="180">
        <f t="shared" si="18"/>
        <v>0</v>
      </c>
      <c r="AC9" s="180">
        <f t="shared" si="19"/>
        <v>0</v>
      </c>
      <c r="AD9" s="180">
        <f t="shared" si="20"/>
        <v>0</v>
      </c>
      <c r="AE9" s="180">
        <f t="shared" si="21"/>
        <v>0</v>
      </c>
      <c r="AF9" s="180">
        <f t="shared" si="22"/>
        <v>0</v>
      </c>
      <c r="AG9" s="180">
        <f t="shared" si="23"/>
        <v>0</v>
      </c>
    </row>
    <row r="10" spans="1:36" x14ac:dyDescent="0.2">
      <c r="G10" s="180">
        <f t="shared" ref="G10:L10" si="24">SUM(G4:G9)</f>
        <v>3</v>
      </c>
      <c r="H10" s="180">
        <f t="shared" si="24"/>
        <v>1</v>
      </c>
      <c r="I10" s="180">
        <f t="shared" si="24"/>
        <v>2</v>
      </c>
      <c r="J10" s="180">
        <f t="shared" si="24"/>
        <v>0</v>
      </c>
      <c r="K10" s="180">
        <f t="shared" si="24"/>
        <v>11</v>
      </c>
      <c r="L10" s="180">
        <f t="shared" si="24"/>
        <v>6</v>
      </c>
      <c r="M10" s="180">
        <f>H10*3+I10</f>
        <v>5</v>
      </c>
      <c r="N10" s="180">
        <f t="shared" ref="N10:S10" si="25">SUM(N4:N9)</f>
        <v>3</v>
      </c>
      <c r="O10" s="180">
        <f t="shared" si="25"/>
        <v>0</v>
      </c>
      <c r="P10" s="180">
        <f t="shared" si="25"/>
        <v>2</v>
      </c>
      <c r="Q10" s="180">
        <f t="shared" si="25"/>
        <v>1</v>
      </c>
      <c r="R10" s="180">
        <f t="shared" si="25"/>
        <v>10</v>
      </c>
      <c r="S10" s="180">
        <f t="shared" si="25"/>
        <v>11</v>
      </c>
      <c r="T10" s="180">
        <f>O10*3+P10</f>
        <v>2</v>
      </c>
      <c r="U10" s="180">
        <f t="shared" ref="U10:Z10" si="26">SUM(U4:U9)</f>
        <v>3</v>
      </c>
      <c r="V10" s="180">
        <f t="shared" si="26"/>
        <v>0</v>
      </c>
      <c r="W10" s="180">
        <f t="shared" si="26"/>
        <v>3</v>
      </c>
      <c r="X10" s="180">
        <f t="shared" si="26"/>
        <v>0</v>
      </c>
      <c r="Y10" s="180">
        <f t="shared" si="26"/>
        <v>8</v>
      </c>
      <c r="Z10" s="180">
        <f t="shared" si="26"/>
        <v>8</v>
      </c>
      <c r="AA10" s="180">
        <f>V10*3+W10</f>
        <v>3</v>
      </c>
      <c r="AB10" s="180">
        <f t="shared" ref="AB10:AG10" si="27">SUM(AB4:AB9)</f>
        <v>3</v>
      </c>
      <c r="AC10" s="180">
        <f t="shared" si="27"/>
        <v>1</v>
      </c>
      <c r="AD10" s="180">
        <f t="shared" si="27"/>
        <v>1</v>
      </c>
      <c r="AE10" s="180">
        <f t="shared" si="27"/>
        <v>1</v>
      </c>
      <c r="AF10" s="180">
        <f t="shared" si="27"/>
        <v>7</v>
      </c>
      <c r="AG10" s="180">
        <f t="shared" si="27"/>
        <v>11</v>
      </c>
      <c r="AH10" s="180">
        <f>AC10*3+AD10</f>
        <v>4</v>
      </c>
    </row>
    <row r="14" spans="1:36" x14ac:dyDescent="0.2">
      <c r="F14" t="s">
        <v>154</v>
      </c>
    </row>
    <row r="15" spans="1:36" x14ac:dyDescent="0.2">
      <c r="G15" t="s">
        <v>148</v>
      </c>
      <c r="H15" t="s">
        <v>149</v>
      </c>
      <c r="I15" t="s">
        <v>150</v>
      </c>
      <c r="J15" t="s">
        <v>151</v>
      </c>
      <c r="K15" t="s">
        <v>152</v>
      </c>
      <c r="L15" t="s">
        <v>153</v>
      </c>
      <c r="M15" t="s">
        <v>155</v>
      </c>
      <c r="O15" t="s">
        <v>156</v>
      </c>
      <c r="S15" t="s">
        <v>157</v>
      </c>
      <c r="W15" t="s">
        <v>158</v>
      </c>
      <c r="AA15" t="s">
        <v>159</v>
      </c>
      <c r="AE15" t="s">
        <v>160</v>
      </c>
      <c r="AI15" t="s">
        <v>161</v>
      </c>
    </row>
    <row r="16" spans="1:36" x14ac:dyDescent="0.2">
      <c r="F16" t="str">
        <f>G2</f>
        <v>Inglaterra</v>
      </c>
      <c r="G16" s="180">
        <f t="shared" ref="G16:M16" si="28">G10</f>
        <v>3</v>
      </c>
      <c r="H16" s="180">
        <f t="shared" si="28"/>
        <v>1</v>
      </c>
      <c r="I16" s="180">
        <f t="shared" si="28"/>
        <v>2</v>
      </c>
      <c r="J16" s="180">
        <f t="shared" si="28"/>
        <v>0</v>
      </c>
      <c r="K16" s="180">
        <f t="shared" si="28"/>
        <v>11</v>
      </c>
      <c r="L16" s="180">
        <f t="shared" si="28"/>
        <v>6</v>
      </c>
      <c r="M16" s="180">
        <f t="shared" si="28"/>
        <v>5</v>
      </c>
      <c r="O16" t="str">
        <f>IF($M16&gt;=$M17,$F16,$F17)</f>
        <v>Inglaterra</v>
      </c>
      <c r="P16" s="180">
        <f>VLOOKUP(O16,$F$16:$M$25,8,FALSE)</f>
        <v>5</v>
      </c>
      <c r="S16" t="str">
        <f>IF($P16&gt;=$P18,$O16,$O18)</f>
        <v>Inglaterra</v>
      </c>
      <c r="T16" s="180">
        <f>VLOOKUP(S16,$O$16:$P$25,2,FALSE)</f>
        <v>5</v>
      </c>
      <c r="W16" t="str">
        <f>IF($T16&gt;=$T19,$S16,$S19)</f>
        <v>Inglaterra</v>
      </c>
      <c r="X16" s="180">
        <f>VLOOKUP(W16,$S$16:$T$25,2,FALSE)</f>
        <v>5</v>
      </c>
      <c r="AA16" t="str">
        <f>W16</f>
        <v>Inglaterra</v>
      </c>
      <c r="AB16" s="180">
        <f>VLOOKUP(AA16,W16:X25,2,FALSE)</f>
        <v>5</v>
      </c>
      <c r="AE16" t="str">
        <f>AA16</f>
        <v>Inglaterra</v>
      </c>
      <c r="AF16" s="180">
        <f>VLOOKUP(AE16,AA16:AB25,2,FALSE)</f>
        <v>5</v>
      </c>
      <c r="AI16" t="str">
        <f>AE16</f>
        <v>Inglaterra</v>
      </c>
      <c r="AJ16" s="180">
        <f>VLOOKUP(AI16,AE16:AF25,2,FALSE)</f>
        <v>5</v>
      </c>
    </row>
    <row r="17" spans="6:37" x14ac:dyDescent="0.2">
      <c r="F17" t="str">
        <f>N2</f>
        <v>Paraguay</v>
      </c>
      <c r="G17" s="180">
        <f t="shared" ref="G17:M17" si="29">N10</f>
        <v>3</v>
      </c>
      <c r="H17" s="180">
        <f t="shared" si="29"/>
        <v>0</v>
      </c>
      <c r="I17" s="180">
        <f t="shared" si="29"/>
        <v>2</v>
      </c>
      <c r="J17" s="180">
        <f t="shared" si="29"/>
        <v>1</v>
      </c>
      <c r="K17" s="180">
        <f t="shared" si="29"/>
        <v>10</v>
      </c>
      <c r="L17" s="180">
        <f t="shared" si="29"/>
        <v>11</v>
      </c>
      <c r="M17" s="180">
        <f t="shared" si="29"/>
        <v>2</v>
      </c>
      <c r="O17" t="str">
        <f>IF($M17&lt;=$M16,$F17,$F16)</f>
        <v>Paraguay</v>
      </c>
      <c r="P17" s="180">
        <f>VLOOKUP(O17,$F$16:$M$25,8,FALSE)</f>
        <v>2</v>
      </c>
      <c r="S17" t="str">
        <f>O17</f>
        <v>Paraguay</v>
      </c>
      <c r="T17" s="180">
        <f>VLOOKUP(S17,$O$16:$P$25,2,FALSE)</f>
        <v>2</v>
      </c>
      <c r="W17" t="str">
        <f>S17</f>
        <v>Paraguay</v>
      </c>
      <c r="X17" s="180">
        <f>VLOOKUP(W17,$S$16:$T$25,2,FALSE)</f>
        <v>2</v>
      </c>
      <c r="AA17" t="str">
        <f>IF(X17&gt;=X18,W17,W18)</f>
        <v>Trinidad. y Tobago</v>
      </c>
      <c r="AB17" s="180">
        <f>VLOOKUP(AA17,W16:X25,2,FALSE)</f>
        <v>3</v>
      </c>
      <c r="AE17" t="str">
        <f>IF(AB17&gt;=AB19,AA17,AA19)</f>
        <v>Suecia</v>
      </c>
      <c r="AF17" s="180">
        <f>VLOOKUP(AE17,AA16:AB25,2,FALSE)</f>
        <v>4</v>
      </c>
      <c r="AI17" t="str">
        <f>AE17</f>
        <v>Suecia</v>
      </c>
      <c r="AJ17" s="180">
        <f>VLOOKUP(AI17,AE16:AF25,2,FALSE)</f>
        <v>4</v>
      </c>
    </row>
    <row r="18" spans="6:37" x14ac:dyDescent="0.2">
      <c r="F18" t="str">
        <f>U2</f>
        <v>Trinidad. y Tobago</v>
      </c>
      <c r="G18" s="180">
        <f t="shared" ref="G18:M18" si="30">U10</f>
        <v>3</v>
      </c>
      <c r="H18" s="180">
        <f t="shared" si="30"/>
        <v>0</v>
      </c>
      <c r="I18" s="180">
        <f t="shared" si="30"/>
        <v>3</v>
      </c>
      <c r="J18" s="180">
        <f t="shared" si="30"/>
        <v>0</v>
      </c>
      <c r="K18" s="180">
        <f t="shared" si="30"/>
        <v>8</v>
      </c>
      <c r="L18" s="180">
        <f t="shared" si="30"/>
        <v>8</v>
      </c>
      <c r="M18" s="180">
        <f t="shared" si="30"/>
        <v>3</v>
      </c>
      <c r="O18" t="str">
        <f>F18</f>
        <v>Trinidad. y Tobago</v>
      </c>
      <c r="P18" s="180">
        <f>VLOOKUP(O18,$F$16:$M$25,8,FALSE)</f>
        <v>3</v>
      </c>
      <c r="S18" t="str">
        <f>IF($P18&lt;=$P16,$O18,$O16)</f>
        <v>Trinidad. y Tobago</v>
      </c>
      <c r="T18" s="180">
        <f>VLOOKUP(S18,$O$16:$P$25,2,FALSE)</f>
        <v>3</v>
      </c>
      <c r="W18" t="str">
        <f>S18</f>
        <v>Trinidad. y Tobago</v>
      </c>
      <c r="X18" s="180">
        <f>VLOOKUP(W18,$S$16:$T$25,2,FALSE)</f>
        <v>3</v>
      </c>
      <c r="AA18" t="str">
        <f>IF(X18&lt;=X17,W18,W17)</f>
        <v>Paraguay</v>
      </c>
      <c r="AB18" s="180">
        <f>VLOOKUP(AA18,W16:X25,2,FALSE)</f>
        <v>2</v>
      </c>
      <c r="AE18" t="str">
        <f>AA18</f>
        <v>Paraguay</v>
      </c>
      <c r="AF18" s="180">
        <f>VLOOKUP(AE18,AA16:AB25,2,FALSE)</f>
        <v>2</v>
      </c>
      <c r="AI18" t="str">
        <f>IF(AF18&gt;=AF19,AE18,AE19)</f>
        <v>Trinidad. y Tobago</v>
      </c>
      <c r="AJ18" s="180">
        <f>VLOOKUP(AI18,AE16:AF25,2,FALSE)</f>
        <v>3</v>
      </c>
    </row>
    <row r="19" spans="6:37" x14ac:dyDescent="0.2">
      <c r="F19" t="str">
        <f>AB2</f>
        <v>Suecia</v>
      </c>
      <c r="G19" s="180">
        <f t="shared" ref="G19:M19" si="31">AB10</f>
        <v>3</v>
      </c>
      <c r="H19" s="180">
        <f t="shared" si="31"/>
        <v>1</v>
      </c>
      <c r="I19" s="180">
        <f t="shared" si="31"/>
        <v>1</v>
      </c>
      <c r="J19" s="180">
        <f t="shared" si="31"/>
        <v>1</v>
      </c>
      <c r="K19" s="180">
        <f t="shared" si="31"/>
        <v>7</v>
      </c>
      <c r="L19" s="180">
        <f t="shared" si="31"/>
        <v>11</v>
      </c>
      <c r="M19" s="180">
        <f t="shared" si="31"/>
        <v>4</v>
      </c>
      <c r="O19" t="str">
        <f>F19</f>
        <v>Suecia</v>
      </c>
      <c r="P19" s="180">
        <f>VLOOKUP(O19,$F$16:$M$25,8,FALSE)</f>
        <v>4</v>
      </c>
      <c r="S19" t="str">
        <f>O19</f>
        <v>Suecia</v>
      </c>
      <c r="T19" s="180">
        <f>VLOOKUP(S19,$O$16:$P$25,2,FALSE)</f>
        <v>4</v>
      </c>
      <c r="W19" t="str">
        <f>IF($T19&lt;=$T16,$S19,$S16)</f>
        <v>Suecia</v>
      </c>
      <c r="X19" s="180">
        <f>VLOOKUP(W19,$S$16:$T$25,2,FALSE)</f>
        <v>4</v>
      </c>
      <c r="AA19" t="str">
        <f>W19</f>
        <v>Suecia</v>
      </c>
      <c r="AB19" s="180">
        <f>VLOOKUP(AA19,W16:X25,2,FALSE)</f>
        <v>4</v>
      </c>
      <c r="AE19" t="str">
        <f>IF(AB19&lt;=AB17,AA19,AA17)</f>
        <v>Trinidad. y Tobago</v>
      </c>
      <c r="AF19" s="180">
        <f>VLOOKUP(AE19,AA16:AB25,2,FALSE)</f>
        <v>3</v>
      </c>
      <c r="AI19" t="str">
        <f>IF(AF19&lt;=AF18,AE19,AE18)</f>
        <v>Paraguay</v>
      </c>
      <c r="AJ19" s="180">
        <f>VLOOKUP(AI19,AE16:AF25,2,FALSE)</f>
        <v>2</v>
      </c>
    </row>
    <row r="28" spans="6:37" x14ac:dyDescent="0.2">
      <c r="F28" t="str">
        <f>AI16</f>
        <v>Inglaterra</v>
      </c>
      <c r="J28" s="180">
        <f>AJ16</f>
        <v>5</v>
      </c>
      <c r="K28" s="180">
        <f>VLOOKUP(AI16,$F$16:$M$25,6,FALSE)</f>
        <v>11</v>
      </c>
      <c r="L28" s="180">
        <f>VLOOKUP(AI16,$F$16:$M$25,7,FALSE)</f>
        <v>6</v>
      </c>
      <c r="M28" s="180">
        <f>K28-L28</f>
        <v>5</v>
      </c>
      <c r="O28" t="str">
        <f>IF(AND($J28=$J29,$M29&gt;$M28),$F29,$F28)</f>
        <v>Inglaterra</v>
      </c>
      <c r="P28" s="180">
        <f>VLOOKUP(O28,$F$28:$M$37,5,FALSE)</f>
        <v>5</v>
      </c>
      <c r="Q28" s="180">
        <f>VLOOKUP(O28,$F$28:$M$37,8,FALSE)</f>
        <v>5</v>
      </c>
      <c r="S28" t="str">
        <f>IF(AND(P28=P30,Q30&gt;Q28),O30,O28)</f>
        <v>Inglaterra</v>
      </c>
      <c r="T28" s="180">
        <f>VLOOKUP(S28,$O$28:$Q$37,2,FALSE)</f>
        <v>5</v>
      </c>
      <c r="U28" s="180">
        <f>VLOOKUP(S28,$O$28:$Q$37,3,FALSE)</f>
        <v>5</v>
      </c>
      <c r="W28" t="str">
        <f>IF(AND(T28=T31,U31&gt;U28),S31,S28)</f>
        <v>Inglaterra</v>
      </c>
      <c r="X28" s="180">
        <f>VLOOKUP(W28,$S$28:$U$37,2,FALSE)</f>
        <v>5</v>
      </c>
      <c r="Y28" s="180">
        <f>VLOOKUP(W28,$S$28:$U$37,3,FALSE)</f>
        <v>5</v>
      </c>
      <c r="AA28" t="str">
        <f>W28</f>
        <v>Inglaterra</v>
      </c>
      <c r="AB28" s="180">
        <f>VLOOKUP(AA28,W28:Y37,2,FALSE)</f>
        <v>5</v>
      </c>
      <c r="AC28" s="180">
        <f>VLOOKUP(AA28,W28:Y37,3,FALSE)</f>
        <v>5</v>
      </c>
      <c r="AE28" t="str">
        <f>AA28</f>
        <v>Inglaterra</v>
      </c>
      <c r="AF28" s="180">
        <f>VLOOKUP(AE28,AA28:AC37,2,FALSE)</f>
        <v>5</v>
      </c>
      <c r="AG28" s="180">
        <f>VLOOKUP(AE28,AA28:AC37,3,FALSE)</f>
        <v>5</v>
      </c>
      <c r="AI28" t="str">
        <f>AE28</f>
        <v>Inglaterra</v>
      </c>
      <c r="AJ28" s="180">
        <f>VLOOKUP(AI28,AE28:AG37,2,FALSE)</f>
        <v>5</v>
      </c>
      <c r="AK28" s="180">
        <f>VLOOKUP(AI28,AE28:AG37,3,FALSE)</f>
        <v>5</v>
      </c>
    </row>
    <row r="29" spans="6:37" x14ac:dyDescent="0.2">
      <c r="F29" t="str">
        <f>AI17</f>
        <v>Suecia</v>
      </c>
      <c r="J29" s="180">
        <f>AJ17</f>
        <v>4</v>
      </c>
      <c r="K29" s="180">
        <f>VLOOKUP(AI17,$F$16:$M$25,6,FALSE)</f>
        <v>7</v>
      </c>
      <c r="L29" s="180">
        <f>VLOOKUP(AI17,$F$16:$M$25,7,FALSE)</f>
        <v>11</v>
      </c>
      <c r="M29" s="180">
        <f>K29-L29</f>
        <v>-4</v>
      </c>
      <c r="O29" t="str">
        <f>IF(AND($J28=$J29,$M29&gt;$M28),$F28,$F29)</f>
        <v>Suecia</v>
      </c>
      <c r="P29" s="180">
        <f>VLOOKUP(O29,$F$28:$M$37,5,FALSE)</f>
        <v>4</v>
      </c>
      <c r="Q29" s="180">
        <f>VLOOKUP(O29,$F$28:$M$37,8,FALSE)</f>
        <v>-4</v>
      </c>
      <c r="S29" t="str">
        <f>O29</f>
        <v>Suecia</v>
      </c>
      <c r="T29" s="180">
        <f>VLOOKUP(S29,$O$28:$Q$37,2,FALSE)</f>
        <v>4</v>
      </c>
      <c r="U29" s="180">
        <f>VLOOKUP(S29,$O$28:$Q$37,3,FALSE)</f>
        <v>-4</v>
      </c>
      <c r="W29" t="str">
        <f>S29</f>
        <v>Suecia</v>
      </c>
      <c r="X29" s="180">
        <f>VLOOKUP(W29,$S$28:$U$37,2,FALSE)</f>
        <v>4</v>
      </c>
      <c r="Y29" s="180">
        <f>VLOOKUP(W29,$S$28:$U$37,3,FALSE)</f>
        <v>-4</v>
      </c>
      <c r="AA29" t="str">
        <f>IF(AND(X29=X30,Y30&gt;Y29),W30,W29)</f>
        <v>Suecia</v>
      </c>
      <c r="AB29" s="180">
        <f>VLOOKUP(AA29,W28:Y37,2,FALSE)</f>
        <v>4</v>
      </c>
      <c r="AC29" s="180">
        <f>VLOOKUP(AA29,W28:Y37,3,FALSE)</f>
        <v>-4</v>
      </c>
      <c r="AE29" t="str">
        <f>IF(AND(AB29=AB31,AC31&gt;AC29),AA31,AA29)</f>
        <v>Suecia</v>
      </c>
      <c r="AF29" s="180">
        <f>VLOOKUP(AE29,AA28:AC37,2,FALSE)</f>
        <v>4</v>
      </c>
      <c r="AG29" s="180">
        <f>VLOOKUP(AE29,AA28:AC37,3,FALSE)</f>
        <v>-4</v>
      </c>
      <c r="AI29" t="str">
        <f>AE29</f>
        <v>Suecia</v>
      </c>
      <c r="AJ29" s="180">
        <f>VLOOKUP(AI29,AE28:AG37,2,FALSE)</f>
        <v>4</v>
      </c>
      <c r="AK29" s="180">
        <f>VLOOKUP(AI29,AE28:AG37,3,FALSE)</f>
        <v>-4</v>
      </c>
    </row>
    <row r="30" spans="6:37" x14ac:dyDescent="0.2">
      <c r="F30" t="str">
        <f>AI18</f>
        <v>Trinidad. y Tobago</v>
      </c>
      <c r="J30" s="180">
        <f>AJ18</f>
        <v>3</v>
      </c>
      <c r="K30" s="180">
        <f>VLOOKUP(AI18,$F$16:$M$25,6,FALSE)</f>
        <v>8</v>
      </c>
      <c r="L30" s="180">
        <f>VLOOKUP(AI18,$F$16:$M$25,7,FALSE)</f>
        <v>8</v>
      </c>
      <c r="M30" s="180">
        <f>K30-L30</f>
        <v>0</v>
      </c>
      <c r="O30" t="str">
        <f>F30</f>
        <v>Trinidad. y Tobago</v>
      </c>
      <c r="P30" s="180">
        <f>VLOOKUP(O30,$F$28:$M$37,5,FALSE)</f>
        <v>3</v>
      </c>
      <c r="Q30" s="180">
        <f>VLOOKUP(O30,$F$28:$M$37,8,FALSE)</f>
        <v>0</v>
      </c>
      <c r="S30" t="str">
        <f>IF(AND($P28=P30,Q30&gt;Q28),O28,O30)</f>
        <v>Trinidad. y Tobago</v>
      </c>
      <c r="T30" s="180">
        <f>VLOOKUP(S30,$O$28:$Q$37,2,FALSE)</f>
        <v>3</v>
      </c>
      <c r="U30" s="180">
        <f>VLOOKUP(S30,$O$28:$Q$37,3,FALSE)</f>
        <v>0</v>
      </c>
      <c r="W30" t="str">
        <f>S30</f>
        <v>Trinidad. y Tobago</v>
      </c>
      <c r="X30" s="180">
        <f>VLOOKUP(W30,$S$28:$U$37,2,FALSE)</f>
        <v>3</v>
      </c>
      <c r="Y30" s="180">
        <f>VLOOKUP(W30,$S$28:$U$37,3,FALSE)</f>
        <v>0</v>
      </c>
      <c r="AA30" t="str">
        <f>IF(AND(X29=X30,Y30&gt;Y29),W29,W30)</f>
        <v>Trinidad. y Tobago</v>
      </c>
      <c r="AB30" s="180">
        <f>VLOOKUP(AA30,W28:Y37,2,FALSE)</f>
        <v>3</v>
      </c>
      <c r="AC30" s="180">
        <f>VLOOKUP(AA30,W28:Y37,3,FALSE)</f>
        <v>0</v>
      </c>
      <c r="AE30" t="str">
        <f>AA30</f>
        <v>Trinidad. y Tobago</v>
      </c>
      <c r="AF30" s="180">
        <f>VLOOKUP(AE30,AA28:AC37,2,FALSE)</f>
        <v>3</v>
      </c>
      <c r="AG30" s="180">
        <f>VLOOKUP(AE30,AA28:AC37,3,FALSE)</f>
        <v>0</v>
      </c>
      <c r="AI30" t="str">
        <f>IF(AND(AF30=AF31,AG31&gt;AG30),AE31,AE30)</f>
        <v>Trinidad. y Tobago</v>
      </c>
      <c r="AJ30" s="180">
        <f>VLOOKUP(AI30,AE28:AG37,2,FALSE)</f>
        <v>3</v>
      </c>
      <c r="AK30" s="180">
        <f>VLOOKUP(AI30,AE28:AG37,3,FALSE)</f>
        <v>0</v>
      </c>
    </row>
    <row r="31" spans="6:37" x14ac:dyDescent="0.2">
      <c r="F31" t="str">
        <f>AI19</f>
        <v>Paraguay</v>
      </c>
      <c r="J31" s="180">
        <f>AJ19</f>
        <v>2</v>
      </c>
      <c r="K31" s="180">
        <f>VLOOKUP(AI19,$F$16:$M$25,6,FALSE)</f>
        <v>10</v>
      </c>
      <c r="L31" s="180">
        <f>VLOOKUP(AI19,$F$16:$M$25,7,FALSE)</f>
        <v>11</v>
      </c>
      <c r="M31" s="180">
        <f>K31-L31</f>
        <v>-1</v>
      </c>
      <c r="O31" t="str">
        <f>F31</f>
        <v>Paraguay</v>
      </c>
      <c r="P31" s="180">
        <f>VLOOKUP(O31,$F$28:$M$37,5,FALSE)</f>
        <v>2</v>
      </c>
      <c r="Q31" s="180">
        <f>VLOOKUP(O31,$F$28:$M$37,8,FALSE)</f>
        <v>-1</v>
      </c>
      <c r="S31" t="str">
        <f>O31</f>
        <v>Paraguay</v>
      </c>
      <c r="T31" s="180">
        <f>VLOOKUP(S31,$O$28:$Q$37,2,FALSE)</f>
        <v>2</v>
      </c>
      <c r="U31" s="180">
        <f>VLOOKUP(S31,$O$28:$Q$37,3,FALSE)</f>
        <v>-1</v>
      </c>
      <c r="W31" t="str">
        <f>IF(AND(T28=T31,U31&gt;U28),S28,S31)</f>
        <v>Paraguay</v>
      </c>
      <c r="X31" s="180">
        <f>VLOOKUP(W31,$S$28:$U$37,2,FALSE)</f>
        <v>2</v>
      </c>
      <c r="Y31" s="180">
        <f>VLOOKUP(W31,$S$28:$U$37,3,FALSE)</f>
        <v>-1</v>
      </c>
      <c r="AA31" t="str">
        <f>W31</f>
        <v>Paraguay</v>
      </c>
      <c r="AB31" s="180">
        <f>VLOOKUP(AA31,W28:Y37,2,FALSE)</f>
        <v>2</v>
      </c>
      <c r="AC31" s="180">
        <f>VLOOKUP(AA31,W28:Y37,3,FALSE)</f>
        <v>-1</v>
      </c>
      <c r="AE31" t="str">
        <f>IF(AND(AB29=AB31,AC31&gt;AC29),AA29,AA31)</f>
        <v>Paraguay</v>
      </c>
      <c r="AF31" s="180">
        <f>VLOOKUP(AE31,AA28:AC37,2,FALSE)</f>
        <v>2</v>
      </c>
      <c r="AG31" s="180">
        <f>VLOOKUP(AE31,AA28:AC37,3,FALSE)</f>
        <v>-1</v>
      </c>
      <c r="AI31" t="str">
        <f>IF(AND(AF30=AF31,AG31&gt;AG30),AE30,AE31)</f>
        <v>Paraguay</v>
      </c>
      <c r="AJ31" s="180">
        <f>VLOOKUP(AI31,AE28:AG37,2,FALSE)</f>
        <v>2</v>
      </c>
      <c r="AK31" s="180">
        <f>VLOOKUP(AI31,AE28:AG37,3,FALSE)</f>
        <v>-1</v>
      </c>
    </row>
    <row r="40" spans="6:38" x14ac:dyDescent="0.2">
      <c r="F40" t="str">
        <f>AI28</f>
        <v>Inglaterra</v>
      </c>
      <c r="J40" s="180">
        <f>VLOOKUP(F40,$F$16:$M$25,8,FALSE)</f>
        <v>5</v>
      </c>
      <c r="K40" s="180">
        <f>VLOOKUP(F40,$F$16:$M$25,6,FALSE)</f>
        <v>11</v>
      </c>
      <c r="L40" s="180">
        <f>VLOOKUP(F40,$F$16:$M$25,7,FALSE)</f>
        <v>6</v>
      </c>
      <c r="M40" s="180">
        <f>K40-L40</f>
        <v>5</v>
      </c>
      <c r="O40" t="str">
        <f>IF(AND(J40=J41,M40=M41,K41&gt;K40),F41,F40)</f>
        <v>Inglaterra</v>
      </c>
      <c r="P40" s="180">
        <f>VLOOKUP(O40,$F$40:$M$49,5,FALSE)</f>
        <v>5</v>
      </c>
      <c r="Q40" s="180">
        <f>VLOOKUP(O40,$F$40:$M$49,8,FALSE)</f>
        <v>5</v>
      </c>
      <c r="R40" s="180">
        <f>VLOOKUP(O40,$F$40:$M$49,6,FALSE)</f>
        <v>11</v>
      </c>
      <c r="S40" t="str">
        <f>IF(AND(P40=P42,Q40=Q42,R42&gt;R40),O42,O40)</f>
        <v>Inglaterra</v>
      </c>
      <c r="T40" s="180">
        <f>VLOOKUP(S40,$O$40:$R$49,2,FALSE)</f>
        <v>5</v>
      </c>
      <c r="U40" s="180">
        <f>VLOOKUP(S40,$O$40:$R$49,3,FALSE)</f>
        <v>5</v>
      </c>
      <c r="V40" s="180">
        <f>VLOOKUP(S40,$O$40:$R$49,4,FALSE)</f>
        <v>11</v>
      </c>
      <c r="W40" t="str">
        <f>IF(AND(T40=T43,U40=U43,V43&gt;V40),S43,S40)</f>
        <v>Inglaterra</v>
      </c>
      <c r="X40" s="180">
        <f>VLOOKUP(W40,$S$40:$V$49,2,FALSE)</f>
        <v>5</v>
      </c>
      <c r="Y40" s="180">
        <f>VLOOKUP(W40,$S$40:$V$49,3,FALSE)</f>
        <v>5</v>
      </c>
      <c r="Z40" s="180">
        <f>VLOOKUP(W40,$S$40:$V$49,4,FALSE)</f>
        <v>11</v>
      </c>
      <c r="AA40" t="str">
        <f>W40</f>
        <v>Inglaterra</v>
      </c>
      <c r="AB40" s="180">
        <f>VLOOKUP(AA40,W40:Z49,2,FALSE)</f>
        <v>5</v>
      </c>
      <c r="AC40" s="180">
        <f>VLOOKUP(AA40,W40:Z49,3,FALSE)</f>
        <v>5</v>
      </c>
      <c r="AD40" s="180">
        <f>VLOOKUP(AA40,W40:Z49,4,FALSE)</f>
        <v>11</v>
      </c>
      <c r="AE40" t="str">
        <f>AA40</f>
        <v>Inglaterra</v>
      </c>
      <c r="AF40" s="180">
        <f>VLOOKUP(AE40,AA40:AD49,2,FALSE)</f>
        <v>5</v>
      </c>
      <c r="AG40" s="180">
        <f>VLOOKUP(AE40,AA40:AD49,3,FALSE)</f>
        <v>5</v>
      </c>
      <c r="AH40" s="180">
        <f>VLOOKUP(AE40,AA40:AD49,4,FALSE)</f>
        <v>11</v>
      </c>
      <c r="AI40" t="str">
        <f>AE40</f>
        <v>Inglaterra</v>
      </c>
      <c r="AJ40" s="180">
        <f>VLOOKUP(AI40,AE40:AH49,2,FALSE)</f>
        <v>5</v>
      </c>
      <c r="AK40" s="180">
        <f>VLOOKUP(AI40,AE40:AH49,3,FALSE)</f>
        <v>5</v>
      </c>
      <c r="AL40" s="180">
        <f>VLOOKUP(AI40,AE40:AH49,4,FALSE)</f>
        <v>11</v>
      </c>
    </row>
    <row r="41" spans="6:38" x14ac:dyDescent="0.2">
      <c r="F41" t="str">
        <f>AI29</f>
        <v>Suecia</v>
      </c>
      <c r="J41" s="180">
        <f>VLOOKUP(F41,$F$16:$M$25,8,FALSE)</f>
        <v>4</v>
      </c>
      <c r="K41" s="180">
        <f>VLOOKUP(F41,$F$16:$M$25,6,FALSE)</f>
        <v>7</v>
      </c>
      <c r="L41" s="180">
        <f>VLOOKUP(F41,$F$16:$M$25,7,FALSE)</f>
        <v>11</v>
      </c>
      <c r="M41" s="180">
        <f>K41-L41</f>
        <v>-4</v>
      </c>
      <c r="O41" t="str">
        <f>IF(AND(J40=J41,M40=M41,K41&gt;K40),F40,F41)</f>
        <v>Suecia</v>
      </c>
      <c r="P41" s="180">
        <f>VLOOKUP(O41,$F$40:$M$49,5,FALSE)</f>
        <v>4</v>
      </c>
      <c r="Q41" s="180">
        <f>VLOOKUP(O41,$F$40:$M$49,8,FALSE)</f>
        <v>-4</v>
      </c>
      <c r="R41" s="180">
        <f>VLOOKUP(O41,$F$40:$M$49,6,FALSE)</f>
        <v>7</v>
      </c>
      <c r="S41" t="str">
        <f>O41</f>
        <v>Suecia</v>
      </c>
      <c r="T41" s="180">
        <f>VLOOKUP(S41,$O$40:$R$49,2,FALSE)</f>
        <v>4</v>
      </c>
      <c r="U41" s="180">
        <f>VLOOKUP(S41,$O$40:$R$49,3,FALSE)</f>
        <v>-4</v>
      </c>
      <c r="V41" s="180">
        <f>VLOOKUP(S41,$O$40:$R$49,4,FALSE)</f>
        <v>7</v>
      </c>
      <c r="W41" t="str">
        <f>S41</f>
        <v>Suecia</v>
      </c>
      <c r="X41" s="180">
        <f>VLOOKUP(W41,$S$40:$V$49,2,FALSE)</f>
        <v>4</v>
      </c>
      <c r="Y41" s="180">
        <f>VLOOKUP(W41,$S$40:$V$49,3,FALSE)</f>
        <v>-4</v>
      </c>
      <c r="Z41" s="180">
        <f>VLOOKUP(W41,$S$40:$V$49,4,FALSE)</f>
        <v>7</v>
      </c>
      <c r="AA41" t="str">
        <f>IF(AND(X41=X42,Y41=Y42,Z42&gt;Z41),W42,W41)</f>
        <v>Suecia</v>
      </c>
      <c r="AB41" s="180">
        <f>VLOOKUP(AA41,W40:Z49,2,FALSE)</f>
        <v>4</v>
      </c>
      <c r="AC41" s="180">
        <f>VLOOKUP(AA41,W40:Z49,3,FALSE)</f>
        <v>-4</v>
      </c>
      <c r="AD41" s="180">
        <f>VLOOKUP(AA41,W40:Z49,4,FALSE)</f>
        <v>7</v>
      </c>
      <c r="AE41" t="str">
        <f>IF(AND(AB41=AB43,AC41=AC43,AD43&gt;AD41),AA43,AA41)</f>
        <v>Suecia</v>
      </c>
      <c r="AF41" s="180">
        <f>VLOOKUP(AE41,AA40:AD49,2,FALSE)</f>
        <v>4</v>
      </c>
      <c r="AG41" s="180">
        <f>VLOOKUP(AE41,AA40:AD49,3,FALSE)</f>
        <v>-4</v>
      </c>
      <c r="AH41" s="180">
        <f>VLOOKUP(AE41,AA40:AD49,4,FALSE)</f>
        <v>7</v>
      </c>
      <c r="AI41" t="str">
        <f>AE41</f>
        <v>Suecia</v>
      </c>
      <c r="AJ41" s="180">
        <f>VLOOKUP(AI41,AE40:AH49,2,FALSE)</f>
        <v>4</v>
      </c>
      <c r="AK41" s="180">
        <f>VLOOKUP(AI41,AE40:AH49,3,FALSE)</f>
        <v>-4</v>
      </c>
      <c r="AL41" s="180">
        <f>VLOOKUP(AI41,AE40:AH49,4,FALSE)</f>
        <v>7</v>
      </c>
    </row>
    <row r="42" spans="6:38" x14ac:dyDescent="0.2">
      <c r="F42" t="str">
        <f>AI30</f>
        <v>Trinidad. y Tobago</v>
      </c>
      <c r="J42" s="180">
        <f>VLOOKUP(F42,$F$16:$M$25,8,FALSE)</f>
        <v>3</v>
      </c>
      <c r="K42" s="180">
        <f>VLOOKUP(F42,$F$16:$M$25,6,FALSE)</f>
        <v>8</v>
      </c>
      <c r="L42" s="180">
        <f>VLOOKUP(F42,$F$16:$M$25,7,FALSE)</f>
        <v>8</v>
      </c>
      <c r="M42" s="180">
        <f>K42-L42</f>
        <v>0</v>
      </c>
      <c r="O42" t="str">
        <f>F42</f>
        <v>Trinidad. y Tobago</v>
      </c>
      <c r="P42" s="180">
        <f>VLOOKUP(O42,$F$40:$M$49,5,FALSE)</f>
        <v>3</v>
      </c>
      <c r="Q42" s="180">
        <f>VLOOKUP(O42,$F$40:$M$49,8,FALSE)</f>
        <v>0</v>
      </c>
      <c r="R42" s="180">
        <f>VLOOKUP(O42,$F$40:$M$49,6,FALSE)</f>
        <v>8</v>
      </c>
      <c r="S42" t="str">
        <f>IF(AND(P40=P42,Q40=Q42,R42&gt;R40),O40,O42)</f>
        <v>Trinidad. y Tobago</v>
      </c>
      <c r="T42" s="180">
        <f>VLOOKUP(S42,$O$40:$R$49,2,FALSE)</f>
        <v>3</v>
      </c>
      <c r="U42" s="180">
        <f>VLOOKUP(S42,$O$40:$R$49,3,FALSE)</f>
        <v>0</v>
      </c>
      <c r="V42" s="180">
        <f>VLOOKUP(S42,$O$40:$R$49,4,FALSE)</f>
        <v>8</v>
      </c>
      <c r="W42" t="str">
        <f>S42</f>
        <v>Trinidad. y Tobago</v>
      </c>
      <c r="X42" s="180">
        <f>VLOOKUP(W42,$S$40:$V$49,2,FALSE)</f>
        <v>3</v>
      </c>
      <c r="Y42" s="180">
        <f>VLOOKUP(W42,$S$40:$V$49,3,FALSE)</f>
        <v>0</v>
      </c>
      <c r="Z42" s="180">
        <f>VLOOKUP(W42,$S$40:$V$49,4,FALSE)</f>
        <v>8</v>
      </c>
      <c r="AA42" t="str">
        <f>IF(AND(X41=X42,Y41=Y42,Z42&gt;Z41),W41,W42)</f>
        <v>Trinidad. y Tobago</v>
      </c>
      <c r="AB42" s="180">
        <f>VLOOKUP(AA42,W40:Z49,2,FALSE)</f>
        <v>3</v>
      </c>
      <c r="AC42" s="180">
        <f>VLOOKUP(AA42,W40:Z49,3,FALSE)</f>
        <v>0</v>
      </c>
      <c r="AD42" s="180">
        <f>VLOOKUP(AA42,W40:Z49,4,FALSE)</f>
        <v>8</v>
      </c>
      <c r="AE42" t="str">
        <f>AA42</f>
        <v>Trinidad. y Tobago</v>
      </c>
      <c r="AF42" s="180">
        <f>VLOOKUP(AE42,AA40:AD49,2,FALSE)</f>
        <v>3</v>
      </c>
      <c r="AG42" s="180">
        <f>VLOOKUP(AE42,AA40:AD49,3,FALSE)</f>
        <v>0</v>
      </c>
      <c r="AH42" s="180">
        <f>VLOOKUP(AE42,AA40:AD49,4,FALSE)</f>
        <v>8</v>
      </c>
      <c r="AI42" t="str">
        <f>IF(AND(AF42=AF43,AG42=AG43,AH43&gt;AH42),AE43,AE42)</f>
        <v>Trinidad. y Tobago</v>
      </c>
      <c r="AJ42" s="180">
        <f>VLOOKUP(AI42,AE40:AH49,2,FALSE)</f>
        <v>3</v>
      </c>
      <c r="AK42" s="180">
        <f>VLOOKUP(AI42,AE40:AH49,3,FALSE)</f>
        <v>0</v>
      </c>
      <c r="AL42" s="180">
        <f>VLOOKUP(AI42,AE40:AH49,4,FALSE)</f>
        <v>8</v>
      </c>
    </row>
    <row r="43" spans="6:38" x14ac:dyDescent="0.2">
      <c r="F43" t="str">
        <f>AI31</f>
        <v>Paraguay</v>
      </c>
      <c r="J43" s="180">
        <f>VLOOKUP(F43,$F$16:$M$25,8,FALSE)</f>
        <v>2</v>
      </c>
      <c r="K43" s="180">
        <f>VLOOKUP(F43,$F$16:$M$25,6,FALSE)</f>
        <v>10</v>
      </c>
      <c r="L43" s="180">
        <f>VLOOKUP(F43,$F$16:$M$25,7,FALSE)</f>
        <v>11</v>
      </c>
      <c r="M43" s="180">
        <f>K43-L43</f>
        <v>-1</v>
      </c>
      <c r="O43" t="str">
        <f>F43</f>
        <v>Paraguay</v>
      </c>
      <c r="P43" s="180">
        <f>VLOOKUP(O43,$F$40:$M$49,5,FALSE)</f>
        <v>2</v>
      </c>
      <c r="Q43" s="180">
        <f>VLOOKUP(O43,$F$40:$M$49,8,FALSE)</f>
        <v>-1</v>
      </c>
      <c r="R43" s="180">
        <f>VLOOKUP(O43,$F$40:$M$49,6,FALSE)</f>
        <v>10</v>
      </c>
      <c r="S43" t="str">
        <f>O43</f>
        <v>Paraguay</v>
      </c>
      <c r="T43" s="180">
        <f>VLOOKUP(S43,$O$40:$R$49,2,FALSE)</f>
        <v>2</v>
      </c>
      <c r="U43" s="180">
        <f>VLOOKUP(S43,$O$40:$R$49,3,FALSE)</f>
        <v>-1</v>
      </c>
      <c r="V43" s="180">
        <f>VLOOKUP(S43,$O$40:$R$49,4,FALSE)</f>
        <v>10</v>
      </c>
      <c r="W43" t="str">
        <f>IF(AND(T40=T43,U40=U43,V43&gt;V40),S40,S43)</f>
        <v>Paraguay</v>
      </c>
      <c r="X43" s="180">
        <f>VLOOKUP(W43,$S$40:$V$49,2,FALSE)</f>
        <v>2</v>
      </c>
      <c r="Y43" s="180">
        <f>VLOOKUP(W43,$S$40:$V$49,3,FALSE)</f>
        <v>-1</v>
      </c>
      <c r="Z43" s="180">
        <f>VLOOKUP(W43,$S$40:$V$49,4,FALSE)</f>
        <v>10</v>
      </c>
      <c r="AA43" t="str">
        <f>W43</f>
        <v>Paraguay</v>
      </c>
      <c r="AB43" s="180">
        <f>VLOOKUP(AA43,W40:Z49,2,FALSE)</f>
        <v>2</v>
      </c>
      <c r="AC43" s="180">
        <f>VLOOKUP(AA43,W40:Z49,3,FALSE)</f>
        <v>-1</v>
      </c>
      <c r="AD43" s="180">
        <f>VLOOKUP(AA43,W40:Z49,4,FALSE)</f>
        <v>10</v>
      </c>
      <c r="AE43" t="str">
        <f>IF(AND(AB41=AB43,AC41=AC43,AD43&gt;AD41),AA41,AA43)</f>
        <v>Paraguay</v>
      </c>
      <c r="AF43" s="180">
        <f>VLOOKUP(AE43,AA40:AD49,2,FALSE)</f>
        <v>2</v>
      </c>
      <c r="AG43" s="180">
        <f>VLOOKUP(AE43,AA40:AD49,3,FALSE)</f>
        <v>-1</v>
      </c>
      <c r="AH43" s="180">
        <f>VLOOKUP(AE43,AA40:AD49,4,FALSE)</f>
        <v>10</v>
      </c>
      <c r="AI43" t="str">
        <f>IF(AND(AF42=AF43,AG42=AG43,AH43&gt;AH42),AE42,AE43)</f>
        <v>Paraguay</v>
      </c>
      <c r="AJ43" s="180">
        <f>VLOOKUP(AI43,AE40:AH49,2,FALSE)</f>
        <v>2</v>
      </c>
      <c r="AK43" s="180">
        <f>VLOOKUP(AI43,AE40:AH49,3,FALSE)</f>
        <v>-1</v>
      </c>
      <c r="AL43" s="180">
        <f>VLOOKUP(AI43,AE40:AH49,4,FALSE)</f>
        <v>10</v>
      </c>
    </row>
    <row r="51" spans="6:13" x14ac:dyDescent="0.2">
      <c r="F51" t="s">
        <v>162</v>
      </c>
    </row>
    <row r="52" spans="6:13" x14ac:dyDescent="0.2">
      <c r="F52" t="str">
        <f>AI40</f>
        <v>Inglaterra</v>
      </c>
      <c r="G52" s="180">
        <f>VLOOKUP(F52,$F$16:$M$25,2,FALSE)</f>
        <v>3</v>
      </c>
      <c r="H52" s="180">
        <f>VLOOKUP(F52,$F$16:$M$25,3,FALSE)</f>
        <v>1</v>
      </c>
      <c r="I52" s="180">
        <f>VLOOKUP(F52,$F$16:$M$25,4,FALSE)</f>
        <v>2</v>
      </c>
      <c r="J52" s="180">
        <f>VLOOKUP(F52,$F$16:$M$25,5,FALSE)</f>
        <v>0</v>
      </c>
      <c r="K52" s="180">
        <f>VLOOKUP(F52,$F$16:$M$25,6,FALSE)</f>
        <v>11</v>
      </c>
      <c r="L52" s="180">
        <f>VLOOKUP(F52,$F$16:$M$25,7,FALSE)</f>
        <v>6</v>
      </c>
      <c r="M52" s="180">
        <f>VLOOKUP(F52,$F$16:$M$25,8,FALSE)</f>
        <v>5</v>
      </c>
    </row>
    <row r="53" spans="6:13" x14ac:dyDescent="0.2">
      <c r="F53" t="str">
        <f>AI41</f>
        <v>Suecia</v>
      </c>
      <c r="G53" s="180">
        <f>VLOOKUP(F53,$F$16:$M$25,2,FALSE)</f>
        <v>3</v>
      </c>
      <c r="H53" s="180">
        <f>VLOOKUP(F53,$F$16:$M$25,3,FALSE)</f>
        <v>1</v>
      </c>
      <c r="I53" s="180">
        <f>VLOOKUP(F53,$F$16:$M$25,4,FALSE)</f>
        <v>1</v>
      </c>
      <c r="J53" s="180">
        <f>VLOOKUP(F53,$F$16:$M$25,5,FALSE)</f>
        <v>1</v>
      </c>
      <c r="K53" s="180">
        <f>VLOOKUP(F53,$F$16:$M$25,6,FALSE)</f>
        <v>7</v>
      </c>
      <c r="L53" s="180">
        <f>VLOOKUP(F53,$F$16:$M$25,7,FALSE)</f>
        <v>11</v>
      </c>
      <c r="M53" s="180">
        <f>VLOOKUP(F53,$F$16:$M$25,8,FALSE)</f>
        <v>4</v>
      </c>
    </row>
    <row r="54" spans="6:13" x14ac:dyDescent="0.2">
      <c r="F54" t="str">
        <f>AI42</f>
        <v>Trinidad. y Tobago</v>
      </c>
      <c r="G54" s="180">
        <f>VLOOKUP(F54,$F$16:$M$25,2,FALSE)</f>
        <v>3</v>
      </c>
      <c r="H54" s="180">
        <f>VLOOKUP(F54,$F$16:$M$25,3,FALSE)</f>
        <v>0</v>
      </c>
      <c r="I54" s="180">
        <f>VLOOKUP(F54,$F$16:$M$25,4,FALSE)</f>
        <v>3</v>
      </c>
      <c r="J54" s="180">
        <f>VLOOKUP(F54,$F$16:$M$25,5,FALSE)</f>
        <v>0</v>
      </c>
      <c r="K54" s="180">
        <f>VLOOKUP(F54,$F$16:$M$25,6,FALSE)</f>
        <v>8</v>
      </c>
      <c r="L54" s="180">
        <f>VLOOKUP(F54,$F$16:$M$25,7,FALSE)</f>
        <v>8</v>
      </c>
      <c r="M54" s="180">
        <f>VLOOKUP(F54,$F$16:$M$25,8,FALSE)</f>
        <v>3</v>
      </c>
    </row>
    <row r="55" spans="6:13" x14ac:dyDescent="0.2">
      <c r="F55" t="str">
        <f>AI43</f>
        <v>Paraguay</v>
      </c>
      <c r="G55" s="180">
        <f>VLOOKUP(F55,$F$16:$M$25,2,FALSE)</f>
        <v>3</v>
      </c>
      <c r="H55" s="180">
        <f>VLOOKUP(F55,$F$16:$M$25,3,FALSE)</f>
        <v>0</v>
      </c>
      <c r="I55" s="180">
        <f>VLOOKUP(F55,$F$16:$M$25,4,FALSE)</f>
        <v>2</v>
      </c>
      <c r="J55" s="180">
        <f>VLOOKUP(F55,$F$16:$M$25,5,FALSE)</f>
        <v>1</v>
      </c>
      <c r="K55" s="180">
        <f>VLOOKUP(F55,$F$16:$M$25,6,FALSE)</f>
        <v>10</v>
      </c>
      <c r="L55" s="180">
        <f>VLOOKUP(F55,$F$16:$M$25,7,FALSE)</f>
        <v>11</v>
      </c>
      <c r="M55" s="180">
        <f>VLOOKUP(F55,$F$16:$M$25,8,FALSE)</f>
        <v>2</v>
      </c>
    </row>
  </sheetData>
  <mergeCells count="1">
    <mergeCell ref="A2:E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showGridLines="0" showRowColHeaders="0" showOutlineSymbols="0" workbookViewId="0"/>
  </sheetViews>
  <sheetFormatPr baseColWidth="10" defaultRowHeight="12.75" x14ac:dyDescent="0.2"/>
  <cols>
    <col min="1" max="1" width="2.7109375" style="13" customWidth="1"/>
    <col min="2" max="2" width="15.5703125" style="13" customWidth="1"/>
    <col min="3" max="3" width="3.28515625" style="13" customWidth="1"/>
    <col min="4" max="4" width="1.7109375" style="13" customWidth="1"/>
    <col min="5" max="5" width="3.42578125" style="13" customWidth="1"/>
    <col min="6" max="6" width="18.28515625" style="13" customWidth="1"/>
    <col min="7" max="7" width="14" style="13" customWidth="1"/>
    <col min="8" max="12" width="3.7109375" style="13" customWidth="1"/>
    <col min="13" max="14" width="3.85546875" style="13" customWidth="1"/>
    <col min="15" max="15" width="4.7109375" style="13" customWidth="1"/>
    <col min="16" max="16" width="5.7109375" style="13" customWidth="1"/>
    <col min="17" max="18" width="7.7109375" style="13" customWidth="1"/>
    <col min="19" max="19" width="5.7109375" style="13" customWidth="1"/>
    <col min="20" max="20" width="7.7109375" style="13" customWidth="1"/>
    <col min="21" max="16384" width="11.42578125" style="13"/>
  </cols>
  <sheetData>
    <row r="1" spans="1:20" s="15" customFormat="1" ht="35.1" customHeight="1" x14ac:dyDescent="0.2">
      <c r="A1" s="187" t="s">
        <v>20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4"/>
    </row>
    <row r="2" spans="1:20" s="15" customFormat="1" ht="35.1" customHeigh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6"/>
    </row>
    <row r="3" spans="1:20" ht="21" customHeight="1" x14ac:dyDescent="0.2">
      <c r="G3" s="17"/>
      <c r="L3" s="18"/>
      <c r="M3" s="19"/>
      <c r="R3" s="17"/>
    </row>
    <row r="4" spans="1:20" x14ac:dyDescent="0.2">
      <c r="B4" s="188" t="s">
        <v>21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P4" s="197" t="s">
        <v>49</v>
      </c>
      <c r="Q4" s="197"/>
      <c r="R4" s="197"/>
      <c r="S4" s="197"/>
    </row>
    <row r="5" spans="1:20" x14ac:dyDescent="0.2">
      <c r="B5" s="20"/>
      <c r="C5" s="20"/>
      <c r="D5" s="20"/>
      <c r="E5" s="20"/>
      <c r="F5" s="20"/>
      <c r="G5" s="21" t="s">
        <v>23</v>
      </c>
      <c r="H5" s="190" t="s">
        <v>24</v>
      </c>
      <c r="I5" s="190"/>
      <c r="J5" s="191" t="s">
        <v>25</v>
      </c>
      <c r="K5" s="191"/>
      <c r="L5" s="191" t="s">
        <v>26</v>
      </c>
      <c r="M5" s="191"/>
      <c r="P5" s="197"/>
      <c r="Q5" s="197"/>
      <c r="R5" s="197"/>
      <c r="S5" s="197"/>
    </row>
    <row r="6" spans="1:20" ht="14.25" customHeight="1" x14ac:dyDescent="0.2">
      <c r="A6" s="22" t="str">
        <f t="shared" ref="A6:A11" ca="1" si="0">IF(OR(L6="finalizado",L6="en juego",L6="hoy!"),"Ø","")</f>
        <v/>
      </c>
      <c r="B6" s="23" t="str">
        <f>Q7</f>
        <v>Inglaterra</v>
      </c>
      <c r="C6" s="24">
        <v>3</v>
      </c>
      <c r="D6" s="25" t="s">
        <v>27</v>
      </c>
      <c r="E6" s="24">
        <v>3</v>
      </c>
      <c r="F6" s="26" t="str">
        <f>Q9</f>
        <v>Paraguay</v>
      </c>
      <c r="G6" s="27" t="s">
        <v>50</v>
      </c>
      <c r="H6" s="192">
        <v>38878</v>
      </c>
      <c r="I6" s="192"/>
      <c r="J6" s="193">
        <v>0.41666666666666669</v>
      </c>
      <c r="K6" s="193"/>
      <c r="L6" s="194" t="str">
        <f t="shared" ref="L6:L11" ca="1" si="1">IF(OR(H6="",J6="",H6&lt;$Q$24),"",IF(H6=$Q$24,IF(AND(J6&lt;=$R$26,$R$26&lt;=(J6+0.08333333333)),"en juego",IF($R$26&lt;J6,"hoy!","finalizado")),IF($Q$24&gt;H6,"finalizado","")))</f>
        <v/>
      </c>
      <c r="M6" s="194"/>
      <c r="R6" s="17"/>
    </row>
    <row r="7" spans="1:20" ht="14.25" customHeight="1" x14ac:dyDescent="0.35">
      <c r="A7" s="22" t="str">
        <f t="shared" ca="1" si="0"/>
        <v/>
      </c>
      <c r="B7" s="23" t="str">
        <f>Q11</f>
        <v>Trinidad. y Tobago</v>
      </c>
      <c r="C7" s="24">
        <v>2</v>
      </c>
      <c r="D7" s="25" t="s">
        <v>27</v>
      </c>
      <c r="E7" s="24">
        <v>2</v>
      </c>
      <c r="F7" s="26" t="str">
        <f>Q13</f>
        <v>Suecia</v>
      </c>
      <c r="G7" s="27" t="s">
        <v>31</v>
      </c>
      <c r="H7" s="192">
        <v>38878</v>
      </c>
      <c r="I7" s="192"/>
      <c r="J7" s="193">
        <v>0.54166666666666663</v>
      </c>
      <c r="K7" s="193"/>
      <c r="L7" s="194" t="str">
        <f t="shared" ca="1" si="1"/>
        <v/>
      </c>
      <c r="M7" s="194"/>
      <c r="N7" s="28"/>
      <c r="O7" s="29"/>
      <c r="P7" s="30"/>
      <c r="Q7" s="195" t="s">
        <v>51</v>
      </c>
      <c r="R7" s="195"/>
      <c r="S7" s="30"/>
    </row>
    <row r="8" spans="1:20" ht="14.25" customHeight="1" x14ac:dyDescent="0.4">
      <c r="A8" s="22" t="str">
        <f t="shared" ca="1" si="0"/>
        <v/>
      </c>
      <c r="B8" s="23" t="str">
        <f>Q7</f>
        <v>Inglaterra</v>
      </c>
      <c r="C8" s="24">
        <v>3</v>
      </c>
      <c r="D8" s="25" t="s">
        <v>27</v>
      </c>
      <c r="E8" s="24">
        <v>3</v>
      </c>
      <c r="F8" s="26" t="str">
        <f>Q11</f>
        <v>Trinidad. y Tobago</v>
      </c>
      <c r="G8" s="27" t="s">
        <v>52</v>
      </c>
      <c r="H8" s="192">
        <v>38883</v>
      </c>
      <c r="I8" s="192"/>
      <c r="J8" s="193">
        <v>0.54166666666666663</v>
      </c>
      <c r="K8" s="193"/>
      <c r="L8" s="194" t="str">
        <f t="shared" ca="1" si="1"/>
        <v/>
      </c>
      <c r="M8" s="194"/>
      <c r="N8" s="31"/>
      <c r="O8" s="32"/>
      <c r="P8" s="33"/>
      <c r="Q8" s="34"/>
      <c r="R8" s="35"/>
      <c r="S8" s="33"/>
    </row>
    <row r="9" spans="1:20" ht="14.25" customHeight="1" x14ac:dyDescent="0.2">
      <c r="A9" s="22" t="str">
        <f t="shared" ca="1" si="0"/>
        <v/>
      </c>
      <c r="B9" s="23" t="str">
        <f>Q13</f>
        <v>Suecia</v>
      </c>
      <c r="C9" s="24">
        <v>5</v>
      </c>
      <c r="D9" s="25" t="s">
        <v>27</v>
      </c>
      <c r="E9" s="24">
        <v>4</v>
      </c>
      <c r="F9" s="26" t="str">
        <f>Q9</f>
        <v>Paraguay</v>
      </c>
      <c r="G9" s="27" t="s">
        <v>34</v>
      </c>
      <c r="H9" s="192">
        <v>38883</v>
      </c>
      <c r="I9" s="192"/>
      <c r="J9" s="193">
        <v>0.66666666666666663</v>
      </c>
      <c r="K9" s="193"/>
      <c r="L9" s="194" t="str">
        <f t="shared" ca="1" si="1"/>
        <v/>
      </c>
      <c r="M9" s="194"/>
      <c r="P9" s="30"/>
      <c r="Q9" s="195" t="s">
        <v>53</v>
      </c>
      <c r="R9" s="195"/>
      <c r="S9" s="30"/>
    </row>
    <row r="10" spans="1:20" ht="14.25" customHeight="1" x14ac:dyDescent="0.2">
      <c r="A10" s="22" t="str">
        <f t="shared" ca="1" si="0"/>
        <v/>
      </c>
      <c r="B10" s="23" t="str">
        <f>Q13</f>
        <v>Suecia</v>
      </c>
      <c r="C10" s="24">
        <v>0</v>
      </c>
      <c r="D10" s="25" t="s">
        <v>27</v>
      </c>
      <c r="E10" s="24">
        <v>5</v>
      </c>
      <c r="F10" s="26" t="str">
        <f>Q7</f>
        <v>Inglaterra</v>
      </c>
      <c r="G10" s="27" t="s">
        <v>54</v>
      </c>
      <c r="H10" s="192">
        <v>38889</v>
      </c>
      <c r="I10" s="192"/>
      <c r="J10" s="193">
        <v>0.66666666666666663</v>
      </c>
      <c r="K10" s="193"/>
      <c r="L10" s="194" t="str">
        <f t="shared" ca="1" si="1"/>
        <v/>
      </c>
      <c r="M10" s="194"/>
      <c r="P10" s="33"/>
      <c r="Q10" s="34"/>
      <c r="R10" s="35"/>
      <c r="S10" s="33"/>
    </row>
    <row r="11" spans="1:20" ht="14.25" customHeight="1" x14ac:dyDescent="0.2">
      <c r="A11" s="22" t="str">
        <f t="shared" ca="1" si="0"/>
        <v/>
      </c>
      <c r="B11" s="23" t="str">
        <f>Q9</f>
        <v>Paraguay</v>
      </c>
      <c r="C11" s="24">
        <v>3</v>
      </c>
      <c r="D11" s="25" t="s">
        <v>27</v>
      </c>
      <c r="E11" s="24">
        <v>3</v>
      </c>
      <c r="F11" s="26" t="str">
        <f>Q11</f>
        <v>Trinidad. y Tobago</v>
      </c>
      <c r="G11" s="27" t="s">
        <v>55</v>
      </c>
      <c r="H11" s="192">
        <v>38889</v>
      </c>
      <c r="I11" s="192"/>
      <c r="J11" s="193">
        <v>0.66666666666666663</v>
      </c>
      <c r="K11" s="193"/>
      <c r="L11" s="194" t="str">
        <f t="shared" ca="1" si="1"/>
        <v/>
      </c>
      <c r="M11" s="194"/>
      <c r="P11" s="30"/>
      <c r="Q11" s="195" t="s">
        <v>56</v>
      </c>
      <c r="R11" s="195"/>
      <c r="S11" s="30"/>
    </row>
    <row r="12" spans="1:20" ht="13.5" customHeight="1" x14ac:dyDescent="0.2">
      <c r="B12" s="36"/>
      <c r="C12" s="37"/>
      <c r="D12" s="38"/>
      <c r="E12" s="37"/>
      <c r="F12" s="20"/>
      <c r="G12" s="39"/>
      <c r="H12" s="38"/>
      <c r="I12" s="40"/>
      <c r="J12" s="18"/>
      <c r="K12" s="41"/>
      <c r="L12" s="42"/>
      <c r="M12" s="42"/>
      <c r="P12" s="33"/>
      <c r="Q12" s="34"/>
      <c r="R12" s="35"/>
      <c r="S12" s="33"/>
    </row>
    <row r="13" spans="1:20" ht="13.5" customHeight="1" x14ac:dyDescent="0.2">
      <c r="B13" s="36"/>
      <c r="C13" s="37"/>
      <c r="D13" s="38"/>
      <c r="E13" s="37"/>
      <c r="F13" s="20"/>
      <c r="G13" s="39"/>
      <c r="H13" s="38"/>
      <c r="I13" s="38"/>
      <c r="J13" s="18"/>
      <c r="K13" s="43"/>
      <c r="L13" s="42"/>
      <c r="M13" s="42"/>
      <c r="P13" s="30"/>
      <c r="Q13" s="195" t="s">
        <v>57</v>
      </c>
      <c r="R13" s="195"/>
      <c r="S13" s="30"/>
    </row>
    <row r="14" spans="1:20" ht="13.5" customHeight="1" x14ac:dyDescent="0.2">
      <c r="B14" s="36"/>
      <c r="C14" s="37"/>
      <c r="D14" s="38"/>
      <c r="E14" s="37"/>
      <c r="F14" s="20"/>
      <c r="G14" s="39"/>
      <c r="H14" s="38"/>
      <c r="I14" s="38"/>
      <c r="J14" s="18"/>
      <c r="K14" s="43"/>
      <c r="L14" s="42"/>
      <c r="M14" s="42"/>
      <c r="Q14" s="45"/>
      <c r="R14" s="71"/>
    </row>
    <row r="15" spans="1:20" x14ac:dyDescent="0.2">
      <c r="G15" s="188" t="s">
        <v>38</v>
      </c>
      <c r="H15" s="188"/>
      <c r="I15" s="188"/>
      <c r="J15" s="188"/>
      <c r="K15" s="188"/>
      <c r="L15" s="188"/>
      <c r="M15" s="188"/>
      <c r="N15" s="188"/>
      <c r="O15" s="188"/>
      <c r="R15" s="17"/>
    </row>
    <row r="16" spans="1:20" x14ac:dyDescent="0.2">
      <c r="G16" s="47"/>
      <c r="H16" s="48" t="s">
        <v>39</v>
      </c>
      <c r="I16" s="48" t="s">
        <v>40</v>
      </c>
      <c r="J16" s="48" t="s">
        <v>41</v>
      </c>
      <c r="K16" s="48" t="s">
        <v>42</v>
      </c>
      <c r="L16" s="48" t="s">
        <v>43</v>
      </c>
      <c r="M16" s="48" t="s">
        <v>44</v>
      </c>
      <c r="N16" s="48" t="s">
        <v>45</v>
      </c>
      <c r="O16" s="48" t="s">
        <v>46</v>
      </c>
      <c r="R16" s="17"/>
    </row>
    <row r="17" spans="2:20" x14ac:dyDescent="0.2">
      <c r="F17" s="49" t="s">
        <v>58</v>
      </c>
      <c r="G17" s="50" t="str">
        <f>calculoB!F52</f>
        <v>Inglaterra</v>
      </c>
      <c r="H17" s="26">
        <f>calculoB!G52</f>
        <v>3</v>
      </c>
      <c r="I17" s="26">
        <f>calculoB!H52</f>
        <v>1</v>
      </c>
      <c r="J17" s="26">
        <f>calculoB!I52</f>
        <v>2</v>
      </c>
      <c r="K17" s="26">
        <f>calculoB!J52</f>
        <v>0</v>
      </c>
      <c r="L17" s="26">
        <f>calculoB!K52</f>
        <v>11</v>
      </c>
      <c r="M17" s="26">
        <f>calculoB!L52</f>
        <v>6</v>
      </c>
      <c r="N17" s="26">
        <f>L17-M17</f>
        <v>5</v>
      </c>
      <c r="O17" s="26">
        <f>calculoB!M52</f>
        <v>5</v>
      </c>
      <c r="P17" s="51"/>
      <c r="Q17" s="52"/>
      <c r="R17" s="53"/>
      <c r="S17" s="52"/>
    </row>
    <row r="18" spans="2:20" x14ac:dyDescent="0.2">
      <c r="F18" s="49" t="s">
        <v>58</v>
      </c>
      <c r="G18" s="50" t="str">
        <f>calculoB!F53</f>
        <v>Suecia</v>
      </c>
      <c r="H18" s="26">
        <f>calculoB!G53</f>
        <v>3</v>
      </c>
      <c r="I18" s="26">
        <f>calculoB!H53</f>
        <v>1</v>
      </c>
      <c r="J18" s="26">
        <f>calculoB!I53</f>
        <v>1</v>
      </c>
      <c r="K18" s="26">
        <f>calculoB!J53</f>
        <v>1</v>
      </c>
      <c r="L18" s="26">
        <f>calculoB!K53</f>
        <v>7</v>
      </c>
      <c r="M18" s="26">
        <f>calculoB!L53</f>
        <v>11</v>
      </c>
      <c r="N18" s="26">
        <f>L18-M18</f>
        <v>-4</v>
      </c>
      <c r="O18" s="26">
        <f>calculoB!M53</f>
        <v>4</v>
      </c>
      <c r="P18" s="51"/>
      <c r="Q18" s="52"/>
      <c r="R18" s="53"/>
      <c r="S18" s="52"/>
    </row>
    <row r="19" spans="2:20" x14ac:dyDescent="0.2">
      <c r="F19" s="52"/>
      <c r="G19" s="50" t="str">
        <f>calculoB!F54</f>
        <v>Trinidad. y Tobago</v>
      </c>
      <c r="H19" s="26">
        <f>calculoB!G54</f>
        <v>3</v>
      </c>
      <c r="I19" s="26">
        <f>calculoB!H54</f>
        <v>0</v>
      </c>
      <c r="J19" s="26">
        <f>calculoB!I54</f>
        <v>3</v>
      </c>
      <c r="K19" s="26">
        <f>calculoB!J54</f>
        <v>0</v>
      </c>
      <c r="L19" s="26">
        <f>calculoB!K54</f>
        <v>8</v>
      </c>
      <c r="M19" s="26">
        <f>calculoB!L54</f>
        <v>8</v>
      </c>
      <c r="N19" s="26">
        <f>L19-M19</f>
        <v>0</v>
      </c>
      <c r="O19" s="26">
        <f>calculoB!M54</f>
        <v>3</v>
      </c>
      <c r="P19" s="54"/>
      <c r="Q19" s="52"/>
      <c r="R19" s="53"/>
      <c r="S19" s="52"/>
    </row>
    <row r="20" spans="2:20" x14ac:dyDescent="0.2">
      <c r="F20" s="52"/>
      <c r="G20" s="50" t="str">
        <f>calculoB!F55</f>
        <v>Paraguay</v>
      </c>
      <c r="H20" s="26">
        <f>calculoB!G55</f>
        <v>3</v>
      </c>
      <c r="I20" s="26">
        <f>calculoB!H55</f>
        <v>0</v>
      </c>
      <c r="J20" s="26">
        <f>calculoB!I55</f>
        <v>2</v>
      </c>
      <c r="K20" s="26">
        <f>calculoB!J55</f>
        <v>1</v>
      </c>
      <c r="L20" s="26">
        <f>calculoB!K55</f>
        <v>10</v>
      </c>
      <c r="M20" s="26">
        <f>calculoB!L55</f>
        <v>11</v>
      </c>
      <c r="N20" s="26">
        <f>L20-M20</f>
        <v>-1</v>
      </c>
      <c r="O20" s="26">
        <f>calculoB!M55</f>
        <v>2</v>
      </c>
      <c r="P20" s="54"/>
      <c r="Q20" s="54"/>
      <c r="R20" s="55"/>
      <c r="S20" s="54"/>
    </row>
    <row r="21" spans="2:20" x14ac:dyDescent="0.2">
      <c r="N21" s="56"/>
      <c r="O21" s="56"/>
      <c r="P21" s="56"/>
      <c r="Q21" s="56"/>
      <c r="R21" s="57"/>
      <c r="S21" s="56"/>
    </row>
    <row r="22" spans="2:20" ht="11.25" customHeight="1" x14ac:dyDescent="0.2">
      <c r="N22" s="56"/>
      <c r="O22" s="56"/>
      <c r="P22" s="56"/>
      <c r="Q22" s="56"/>
      <c r="R22" s="57"/>
      <c r="S22" s="56"/>
    </row>
    <row r="23" spans="2:20" ht="9" customHeight="1" x14ac:dyDescent="0.2">
      <c r="N23" s="56"/>
      <c r="O23" s="56"/>
      <c r="P23" s="56"/>
      <c r="R23" s="58"/>
      <c r="S23" s="56"/>
    </row>
    <row r="24" spans="2:20" ht="13.5" x14ac:dyDescent="0.25">
      <c r="B24" s="59"/>
      <c r="C24" s="60"/>
      <c r="N24" s="61"/>
      <c r="O24" s="61"/>
      <c r="P24" s="62" t="s">
        <v>48</v>
      </c>
      <c r="Q24" s="63">
        <f ca="1">TODAY()</f>
        <v>42230</v>
      </c>
      <c r="R24" s="64">
        <f ca="1">NOW()</f>
        <v>42230.789250000002</v>
      </c>
      <c r="S24" s="65"/>
    </row>
    <row r="25" spans="2:20" hidden="1" x14ac:dyDescent="0.2">
      <c r="N25" s="56"/>
      <c r="O25" s="56"/>
      <c r="P25" s="56"/>
      <c r="Q25" s="72">
        <f ca="1">HOUR(R24)</f>
        <v>18</v>
      </c>
      <c r="R25" s="72">
        <f ca="1">MINUTE(R24)</f>
        <v>56</v>
      </c>
      <c r="S25" s="65"/>
      <c r="T25" s="66"/>
    </row>
    <row r="26" spans="2:20" hidden="1" x14ac:dyDescent="0.2">
      <c r="N26" s="56"/>
      <c r="O26" s="56"/>
      <c r="Q26" s="72"/>
      <c r="R26" s="73">
        <f ca="1">TIME(Q25,R25,0)</f>
        <v>0.78888888888888886</v>
      </c>
      <c r="S26" s="65"/>
      <c r="T26" s="66"/>
    </row>
    <row r="27" spans="2:20" x14ac:dyDescent="0.2">
      <c r="N27" s="56"/>
      <c r="O27" s="56"/>
      <c r="P27" s="56"/>
      <c r="Q27" s="65"/>
      <c r="R27" s="65"/>
      <c r="S27" s="65"/>
    </row>
    <row r="28" spans="2:20" x14ac:dyDescent="0.2">
      <c r="N28" s="56"/>
      <c r="O28" s="56"/>
      <c r="P28" s="56"/>
      <c r="Q28" s="196" t="s">
        <v>18</v>
      </c>
      <c r="R28" s="196" t="s">
        <v>19</v>
      </c>
      <c r="S28" s="65"/>
    </row>
    <row r="29" spans="2:20" x14ac:dyDescent="0.2">
      <c r="N29" s="56"/>
      <c r="O29" s="56"/>
      <c r="P29" s="56"/>
      <c r="Q29" s="65"/>
      <c r="R29" s="65"/>
      <c r="S29" s="65"/>
    </row>
  </sheetData>
  <sheetProtection sheet="1" objects="1" scenarios="1"/>
  <mergeCells count="30">
    <mergeCell ref="Q11:R11"/>
    <mergeCell ref="Q13:R13"/>
    <mergeCell ref="G15:O15"/>
    <mergeCell ref="Q28:R28"/>
    <mergeCell ref="H10:I10"/>
    <mergeCell ref="J10:K10"/>
    <mergeCell ref="L10:M10"/>
    <mergeCell ref="H11:I11"/>
    <mergeCell ref="J11:K11"/>
    <mergeCell ref="L11:M11"/>
    <mergeCell ref="Q7:R7"/>
    <mergeCell ref="H8:I8"/>
    <mergeCell ref="J8:K8"/>
    <mergeCell ref="L8:M8"/>
    <mergeCell ref="H9:I9"/>
    <mergeCell ref="J9:K9"/>
    <mergeCell ref="L9:M9"/>
    <mergeCell ref="Q9:R9"/>
    <mergeCell ref="H6:I6"/>
    <mergeCell ref="J6:K6"/>
    <mergeCell ref="L6:M6"/>
    <mergeCell ref="H7:I7"/>
    <mergeCell ref="J7:K7"/>
    <mergeCell ref="L7:M7"/>
    <mergeCell ref="A1:S2"/>
    <mergeCell ref="B4:M4"/>
    <mergeCell ref="P4:S5"/>
    <mergeCell ref="H5:I5"/>
    <mergeCell ref="J5:K5"/>
    <mergeCell ref="L5:M5"/>
  </mergeCells>
  <conditionalFormatting sqref="B6:G6 H6:I7 J6:M6">
    <cfRule type="expression" dxfId="88" priority="1" stopIfTrue="1">
      <formula>IF(OR($L$6="en juego",$L$6="hoy!"),1,0)</formula>
    </cfRule>
  </conditionalFormatting>
  <conditionalFormatting sqref="B7:G7 J7:M7">
    <cfRule type="expression" dxfId="87" priority="2" stopIfTrue="1">
      <formula>IF(OR($L$7="en juego",$L$7="hoy!"),1,0)</formula>
    </cfRule>
  </conditionalFormatting>
  <conditionalFormatting sqref="B8:G8 H8:I9 J8:M8">
    <cfRule type="expression" dxfId="86" priority="3" stopIfTrue="1">
      <formula>IF(OR($L$8="en juego",$L$8="hoy!"),1,0)</formula>
    </cfRule>
  </conditionalFormatting>
  <conditionalFormatting sqref="B9:G9 J9:M9">
    <cfRule type="expression" dxfId="85" priority="4" stopIfTrue="1">
      <formula>IF(OR($L$9="en juego",$L$9="hoy!"),1,0)</formula>
    </cfRule>
  </conditionalFormatting>
  <conditionalFormatting sqref="B10:G10 H10:I11 J10:M10">
    <cfRule type="expression" dxfId="84" priority="5" stopIfTrue="1">
      <formula>IF(OR($L$10="en juego",$L$10="hoy!"),1,0)</formula>
    </cfRule>
  </conditionalFormatting>
  <conditionalFormatting sqref="B11:G11 J11:M11">
    <cfRule type="expression" dxfId="83" priority="6" stopIfTrue="1">
      <formula>IF(OR($L$11="en juego",$L$11="hoy!"),1,0)</formula>
    </cfRule>
  </conditionalFormatting>
  <conditionalFormatting sqref="F17:F18">
    <cfRule type="expression" dxfId="82" priority="7" stopIfTrue="1">
      <formula>IF(AND($H$17=3,$H$18=3,$H$19=3,$H$20=3),1,0)</formula>
    </cfRule>
  </conditionalFormatting>
  <conditionalFormatting sqref="G17:O18">
    <cfRule type="expression" dxfId="81" priority="8" stopIfTrue="1">
      <formula>IF(AND($H$17=3,$H$18=3,$H$19=3,$H$20=3),1,0)</formula>
    </cfRule>
  </conditionalFormatting>
  <dataValidations count="1">
    <dataValidation type="whole" allowBlank="1" showErrorMessage="1" errorTitle="Dato no válido" error="Ingrese sólo un número entero_x000a_entre 0 y 99." sqref="C6:C11 E6:E11">
      <formula1>0</formula1>
      <formula2>99</formula2>
    </dataValidation>
  </dataValidations>
  <hyperlinks>
    <hyperlink ref="Q28" location="Portada!A1" display="Menu Principal"/>
    <hyperlink ref="R28" location="Portada!A1" display="#Portada.A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showGridLines="0" showRowColHeaders="0" showOutlineSymbols="0" workbookViewId="0">
      <selection activeCell="D15" sqref="D15"/>
    </sheetView>
  </sheetViews>
  <sheetFormatPr baseColWidth="10" defaultRowHeight="12.75" x14ac:dyDescent="0.2"/>
  <cols>
    <col min="1" max="1" width="2.7109375" style="13" customWidth="1"/>
    <col min="2" max="2" width="18.28515625" style="13" customWidth="1"/>
    <col min="3" max="3" width="3.28515625" style="13" customWidth="1"/>
    <col min="4" max="4" width="1.7109375" style="13" customWidth="1"/>
    <col min="5" max="5" width="3.42578125" style="13" customWidth="1"/>
    <col min="6" max="6" width="18.28515625" style="13" customWidth="1"/>
    <col min="7" max="7" width="14.7109375" style="13" customWidth="1"/>
    <col min="8" max="12" width="3.7109375" style="13" customWidth="1"/>
    <col min="13" max="14" width="3.85546875" style="13" customWidth="1"/>
    <col min="15" max="15" width="4.7109375" style="13" customWidth="1"/>
    <col min="16" max="16" width="5.7109375" style="13" customWidth="1"/>
    <col min="17" max="18" width="8.7109375" style="13" customWidth="1"/>
    <col min="19" max="19" width="5.7109375" style="13" customWidth="1"/>
    <col min="20" max="20" width="7.7109375" style="13" customWidth="1"/>
    <col min="21" max="16384" width="11.42578125" style="13"/>
  </cols>
  <sheetData>
    <row r="1" spans="1:20" s="15" customFormat="1" ht="35.1" customHeight="1" x14ac:dyDescent="0.2">
      <c r="A1" s="187" t="s">
        <v>20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4"/>
    </row>
    <row r="2" spans="1:20" s="15" customFormat="1" ht="35.1" customHeigh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6"/>
    </row>
    <row r="3" spans="1:20" ht="21" customHeight="1" x14ac:dyDescent="0.2">
      <c r="G3" s="17"/>
      <c r="L3" s="18"/>
      <c r="M3" s="19"/>
      <c r="R3" s="17"/>
    </row>
    <row r="4" spans="1:20" ht="12.75" customHeight="1" x14ac:dyDescent="0.2">
      <c r="B4" s="188" t="s">
        <v>21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P4" s="197" t="s">
        <v>59</v>
      </c>
      <c r="Q4" s="197"/>
      <c r="R4" s="197"/>
      <c r="S4" s="197"/>
    </row>
    <row r="5" spans="1:20" ht="12.75" customHeight="1" x14ac:dyDescent="0.2">
      <c r="B5" s="20"/>
      <c r="C5" s="20"/>
      <c r="D5" s="20"/>
      <c r="E5" s="20"/>
      <c r="F5" s="20"/>
      <c r="G5" s="21" t="s">
        <v>23</v>
      </c>
      <c r="H5" s="190" t="s">
        <v>24</v>
      </c>
      <c r="I5" s="190"/>
      <c r="J5" s="191" t="s">
        <v>25</v>
      </c>
      <c r="K5" s="191"/>
      <c r="L5" s="191" t="s">
        <v>26</v>
      </c>
      <c r="M5" s="191"/>
      <c r="P5" s="197"/>
      <c r="Q5" s="197"/>
      <c r="R5" s="197"/>
      <c r="S5" s="197"/>
    </row>
    <row r="6" spans="1:20" ht="14.25" customHeight="1" x14ac:dyDescent="0.2">
      <c r="A6" s="22" t="str">
        <f t="shared" ref="A6:A11" ca="1" si="0">IF(OR(L6="finalizado",L6="en juego",L6="hoy!"),"Ø","")</f>
        <v/>
      </c>
      <c r="B6" s="23" t="str">
        <f>Q7</f>
        <v>Argentina</v>
      </c>
      <c r="C6" s="24"/>
      <c r="D6" s="25" t="s">
        <v>27</v>
      </c>
      <c r="E6" s="24"/>
      <c r="F6" s="26" t="str">
        <f>Q9</f>
        <v>Costa de Marfil</v>
      </c>
      <c r="G6" s="27" t="s">
        <v>32</v>
      </c>
      <c r="H6" s="192">
        <v>38878</v>
      </c>
      <c r="I6" s="192"/>
      <c r="J6" s="193">
        <v>0.66666666666666663</v>
      </c>
      <c r="K6" s="193"/>
      <c r="L6" s="194" t="str">
        <f t="shared" ref="L6:L11" ca="1" si="1">IF(OR(H6="",J6="",H6&lt;$Q$24),"",IF(H6=$Q$24,IF(AND(J6&lt;=$R$26,$R$26&lt;=(J6+0.08333333333)),"en juego",IF($R$26&lt;J6,"hoy!","finalizado")),IF($Q$24&gt;H6,"finalizado","")))</f>
        <v/>
      </c>
      <c r="M6" s="194"/>
      <c r="R6" s="17"/>
    </row>
    <row r="7" spans="1:20" ht="14.25" customHeight="1" x14ac:dyDescent="0.35">
      <c r="A7" s="22" t="str">
        <f t="shared" ca="1" si="0"/>
        <v/>
      </c>
      <c r="B7" s="23" t="str">
        <f>Q11</f>
        <v>Serbia y Montenegro</v>
      </c>
      <c r="C7" s="24"/>
      <c r="D7" s="25" t="s">
        <v>27</v>
      </c>
      <c r="E7" s="24"/>
      <c r="F7" s="26" t="str">
        <f>Q13</f>
        <v>Holanda</v>
      </c>
      <c r="G7" s="27" t="s">
        <v>60</v>
      </c>
      <c r="H7" s="192">
        <v>38879</v>
      </c>
      <c r="I7" s="192"/>
      <c r="J7" s="193">
        <v>0.41666666666666669</v>
      </c>
      <c r="K7" s="193"/>
      <c r="L7" s="194" t="str">
        <f t="shared" ca="1" si="1"/>
        <v/>
      </c>
      <c r="M7" s="194"/>
      <c r="N7" s="28"/>
      <c r="O7" s="74"/>
      <c r="P7" s="30"/>
      <c r="Q7" s="195" t="s">
        <v>61</v>
      </c>
      <c r="R7" s="195"/>
      <c r="S7" s="30"/>
    </row>
    <row r="8" spans="1:20" ht="14.25" customHeight="1" x14ac:dyDescent="0.4">
      <c r="A8" s="22" t="str">
        <f t="shared" ca="1" si="0"/>
        <v/>
      </c>
      <c r="B8" s="23" t="str">
        <f>Q7</f>
        <v>Argentina</v>
      </c>
      <c r="C8" s="24"/>
      <c r="D8" s="25" t="s">
        <v>27</v>
      </c>
      <c r="E8" s="24"/>
      <c r="F8" s="26" t="str">
        <f>Q11</f>
        <v>Serbia y Montenegro</v>
      </c>
      <c r="G8" s="27" t="s">
        <v>29</v>
      </c>
      <c r="H8" s="192">
        <v>38884</v>
      </c>
      <c r="I8" s="192"/>
      <c r="J8" s="193">
        <v>0.41666666666666669</v>
      </c>
      <c r="K8" s="193"/>
      <c r="L8" s="194" t="str">
        <f t="shared" ca="1" si="1"/>
        <v/>
      </c>
      <c r="M8" s="194"/>
      <c r="N8" s="31"/>
      <c r="O8" s="75"/>
      <c r="P8" s="33"/>
      <c r="Q8" s="34"/>
      <c r="R8" s="35"/>
      <c r="S8" s="33"/>
    </row>
    <row r="9" spans="1:20" ht="14.25" customHeight="1" x14ac:dyDescent="0.2">
      <c r="A9" s="22" t="str">
        <f t="shared" ca="1" si="0"/>
        <v/>
      </c>
      <c r="B9" s="23" t="str">
        <f>Q13</f>
        <v>Holanda</v>
      </c>
      <c r="C9" s="24"/>
      <c r="D9" s="25" t="s">
        <v>27</v>
      </c>
      <c r="E9" s="24"/>
      <c r="F9" s="26" t="str">
        <f>Q9</f>
        <v>Costa de Marfil</v>
      </c>
      <c r="G9" s="27" t="s">
        <v>62</v>
      </c>
      <c r="H9" s="192">
        <v>38884</v>
      </c>
      <c r="I9" s="192"/>
      <c r="J9" s="193">
        <v>0.54166666666666663</v>
      </c>
      <c r="K9" s="193"/>
      <c r="L9" s="194" t="str">
        <f t="shared" ca="1" si="1"/>
        <v/>
      </c>
      <c r="M9" s="194"/>
      <c r="O9" s="33"/>
      <c r="P9" s="30"/>
      <c r="Q9" s="195" t="s">
        <v>63</v>
      </c>
      <c r="R9" s="195"/>
      <c r="S9" s="30"/>
    </row>
    <row r="10" spans="1:20" ht="14.25" customHeight="1" x14ac:dyDescent="0.2">
      <c r="A10" s="22" t="str">
        <f t="shared" ca="1" si="0"/>
        <v/>
      </c>
      <c r="B10" s="23" t="str">
        <f>Q13</f>
        <v>Holanda</v>
      </c>
      <c r="C10" s="24"/>
      <c r="D10" s="25" t="s">
        <v>27</v>
      </c>
      <c r="E10" s="24"/>
      <c r="F10" s="26" t="str">
        <f>Q7</f>
        <v>Argentina</v>
      </c>
      <c r="G10" s="27" t="s">
        <v>50</v>
      </c>
      <c r="H10" s="192">
        <v>38889</v>
      </c>
      <c r="I10" s="192"/>
      <c r="J10" s="193">
        <v>0.45833333333333331</v>
      </c>
      <c r="K10" s="193"/>
      <c r="L10" s="194" t="str">
        <f t="shared" ca="1" si="1"/>
        <v/>
      </c>
      <c r="M10" s="194"/>
      <c r="O10" s="33"/>
      <c r="P10" s="33"/>
      <c r="Q10" s="34"/>
      <c r="R10" s="35"/>
      <c r="S10" s="33"/>
    </row>
    <row r="11" spans="1:20" ht="14.25" customHeight="1" x14ac:dyDescent="0.2">
      <c r="A11" s="22" t="str">
        <f t="shared" ca="1" si="0"/>
        <v/>
      </c>
      <c r="B11" s="23" t="str">
        <f>Q9</f>
        <v>Costa de Marfil</v>
      </c>
      <c r="C11" s="24"/>
      <c r="D11" s="25" t="s">
        <v>27</v>
      </c>
      <c r="E11" s="24"/>
      <c r="F11" s="26" t="str">
        <f>Q11</f>
        <v>Serbia y Montenegro</v>
      </c>
      <c r="G11" s="27" t="s">
        <v>28</v>
      </c>
      <c r="H11" s="192">
        <v>38889</v>
      </c>
      <c r="I11" s="192"/>
      <c r="J11" s="193">
        <v>0.45833333333333331</v>
      </c>
      <c r="K11" s="193"/>
      <c r="L11" s="194" t="str">
        <f t="shared" ca="1" si="1"/>
        <v/>
      </c>
      <c r="M11" s="194"/>
      <c r="O11" s="33"/>
      <c r="P11" s="30"/>
      <c r="Q11" s="195" t="s">
        <v>64</v>
      </c>
      <c r="R11" s="195"/>
      <c r="S11" s="30"/>
    </row>
    <row r="12" spans="1:20" ht="13.5" customHeight="1" x14ac:dyDescent="0.2">
      <c r="B12" s="36"/>
      <c r="C12" s="37"/>
      <c r="D12" s="38"/>
      <c r="E12" s="37"/>
      <c r="F12" s="20"/>
      <c r="G12" s="39"/>
      <c r="H12" s="38"/>
      <c r="I12" s="40"/>
      <c r="J12" s="18"/>
      <c r="K12" s="41"/>
      <c r="L12" s="42"/>
      <c r="M12" s="42"/>
      <c r="O12" s="33"/>
      <c r="P12" s="33"/>
      <c r="Q12" s="34"/>
      <c r="R12" s="35"/>
      <c r="S12" s="33"/>
    </row>
    <row r="13" spans="1:20" ht="13.5" customHeight="1" x14ac:dyDescent="0.2">
      <c r="B13" s="36"/>
      <c r="C13" s="37"/>
      <c r="D13" s="38"/>
      <c r="E13" s="37"/>
      <c r="F13" s="20"/>
      <c r="G13" s="39"/>
      <c r="H13" s="38"/>
      <c r="I13" s="38"/>
      <c r="J13" s="18"/>
      <c r="K13" s="43"/>
      <c r="L13" s="42"/>
      <c r="M13" s="42"/>
      <c r="O13" s="33"/>
      <c r="P13" s="30"/>
      <c r="Q13" s="195" t="s">
        <v>65</v>
      </c>
      <c r="R13" s="195"/>
      <c r="S13" s="30"/>
    </row>
    <row r="14" spans="1:20" ht="13.5" customHeight="1" x14ac:dyDescent="0.2">
      <c r="B14" s="36"/>
      <c r="C14" s="37"/>
      <c r="D14" s="38"/>
      <c r="E14" s="37"/>
      <c r="F14" s="20"/>
      <c r="G14" s="39"/>
      <c r="H14" s="38"/>
      <c r="I14" s="38"/>
      <c r="J14" s="18"/>
      <c r="K14" s="43"/>
      <c r="L14" s="42"/>
      <c r="M14" s="42"/>
      <c r="Q14" s="45"/>
      <c r="R14" s="71"/>
    </row>
    <row r="15" spans="1:20" x14ac:dyDescent="0.2">
      <c r="G15" s="188" t="s">
        <v>38</v>
      </c>
      <c r="H15" s="188"/>
      <c r="I15" s="188"/>
      <c r="J15" s="188"/>
      <c r="K15" s="188"/>
      <c r="L15" s="188"/>
      <c r="M15" s="188"/>
      <c r="N15" s="188"/>
      <c r="O15" s="188"/>
      <c r="R15" s="17"/>
    </row>
    <row r="16" spans="1:20" x14ac:dyDescent="0.2">
      <c r="G16" s="47"/>
      <c r="H16" s="48" t="s">
        <v>39</v>
      </c>
      <c r="I16" s="48" t="s">
        <v>40</v>
      </c>
      <c r="J16" s="48" t="s">
        <v>41</v>
      </c>
      <c r="K16" s="48" t="s">
        <v>42</v>
      </c>
      <c r="L16" s="48" t="s">
        <v>43</v>
      </c>
      <c r="M16" s="48" t="s">
        <v>44</v>
      </c>
      <c r="N16" s="48" t="s">
        <v>45</v>
      </c>
      <c r="O16" s="48" t="s">
        <v>46</v>
      </c>
      <c r="R16" s="17"/>
    </row>
    <row r="17" spans="1:20" x14ac:dyDescent="0.2">
      <c r="F17" s="49" t="s">
        <v>58</v>
      </c>
      <c r="G17" s="50" t="str">
        <f>calculoC!F52</f>
        <v>Argentina</v>
      </c>
      <c r="H17" s="26">
        <f>calculoC!G52</f>
        <v>0</v>
      </c>
      <c r="I17" s="26">
        <f>calculoC!H52</f>
        <v>0</v>
      </c>
      <c r="J17" s="26">
        <f>calculoC!I52</f>
        <v>0</v>
      </c>
      <c r="K17" s="26">
        <f>calculoC!J52</f>
        <v>0</v>
      </c>
      <c r="L17" s="26">
        <f>calculoC!K52</f>
        <v>0</v>
      </c>
      <c r="M17" s="26">
        <f>calculoC!L52</f>
        <v>0</v>
      </c>
      <c r="N17" s="26">
        <f>L17-M17</f>
        <v>0</v>
      </c>
      <c r="O17" s="26">
        <f>calculoC!M52</f>
        <v>0</v>
      </c>
      <c r="P17" s="51"/>
      <c r="Q17" s="52"/>
      <c r="R17" s="53"/>
      <c r="S17" s="52"/>
    </row>
    <row r="18" spans="1:20" x14ac:dyDescent="0.2">
      <c r="F18" s="49" t="s">
        <v>58</v>
      </c>
      <c r="G18" s="50" t="str">
        <f>calculoC!F53</f>
        <v>Costa de Marfil</v>
      </c>
      <c r="H18" s="26">
        <f>calculoC!G53</f>
        <v>0</v>
      </c>
      <c r="I18" s="26">
        <f>calculoC!H53</f>
        <v>0</v>
      </c>
      <c r="J18" s="26">
        <f>calculoC!I53</f>
        <v>0</v>
      </c>
      <c r="K18" s="26">
        <f>calculoC!J53</f>
        <v>0</v>
      </c>
      <c r="L18" s="26">
        <f>calculoC!K53</f>
        <v>0</v>
      </c>
      <c r="M18" s="26">
        <f>calculoC!L53</f>
        <v>0</v>
      </c>
      <c r="N18" s="26">
        <f>L18-M18</f>
        <v>0</v>
      </c>
      <c r="O18" s="26">
        <f>calculoC!M53</f>
        <v>0</v>
      </c>
      <c r="P18" s="51"/>
      <c r="Q18" s="52"/>
      <c r="R18" s="53"/>
      <c r="S18" s="52"/>
    </row>
    <row r="19" spans="1:20" x14ac:dyDescent="0.2">
      <c r="F19" s="52"/>
      <c r="G19" s="50" t="str">
        <f>calculoC!F54</f>
        <v>Serbia y Montenegro</v>
      </c>
      <c r="H19" s="26">
        <f>calculoC!G54</f>
        <v>0</v>
      </c>
      <c r="I19" s="26">
        <f>calculoC!H54</f>
        <v>0</v>
      </c>
      <c r="J19" s="26">
        <f>calculoC!I54</f>
        <v>0</v>
      </c>
      <c r="K19" s="26">
        <f>calculoC!J54</f>
        <v>0</v>
      </c>
      <c r="L19" s="26">
        <f>calculoC!K54</f>
        <v>0</v>
      </c>
      <c r="M19" s="26">
        <f>calculoC!L54</f>
        <v>0</v>
      </c>
      <c r="N19" s="26">
        <f>L19-M19</f>
        <v>0</v>
      </c>
      <c r="O19" s="26">
        <f>calculoC!M54</f>
        <v>0</v>
      </c>
      <c r="P19" s="54"/>
      <c r="Q19" s="52"/>
      <c r="R19" s="53"/>
      <c r="S19" s="52"/>
    </row>
    <row r="20" spans="1:20" x14ac:dyDescent="0.2">
      <c r="F20" s="52"/>
      <c r="G20" s="50" t="str">
        <f>calculoC!F55</f>
        <v>Holanda</v>
      </c>
      <c r="H20" s="26">
        <f>calculoC!G55</f>
        <v>0</v>
      </c>
      <c r="I20" s="26">
        <f>calculoC!H55</f>
        <v>0</v>
      </c>
      <c r="J20" s="26">
        <f>calculoC!I55</f>
        <v>0</v>
      </c>
      <c r="K20" s="26">
        <f>calculoC!J55</f>
        <v>0</v>
      </c>
      <c r="L20" s="26">
        <f>calculoC!K55</f>
        <v>0</v>
      </c>
      <c r="M20" s="26">
        <f>calculoC!L55</f>
        <v>0</v>
      </c>
      <c r="N20" s="26">
        <f>L20-M20</f>
        <v>0</v>
      </c>
      <c r="O20" s="26">
        <f>calculoC!M55</f>
        <v>0</v>
      </c>
      <c r="P20" s="54"/>
      <c r="Q20" s="54"/>
      <c r="R20" s="55"/>
      <c r="S20" s="54"/>
    </row>
    <row r="21" spans="1:20" x14ac:dyDescent="0.2">
      <c r="N21" s="56"/>
      <c r="O21" s="56"/>
      <c r="P21" s="56"/>
      <c r="Q21" s="56"/>
      <c r="R21" s="57"/>
      <c r="S21" s="56"/>
    </row>
    <row r="22" spans="1:20" ht="11.25" customHeight="1" x14ac:dyDescent="0.2">
      <c r="N22" s="56"/>
      <c r="O22" s="56"/>
      <c r="P22" s="56"/>
      <c r="Q22" s="56"/>
      <c r="R22" s="57"/>
      <c r="S22" s="56"/>
    </row>
    <row r="23" spans="1:20" ht="9" customHeight="1" x14ac:dyDescent="0.2">
      <c r="N23" s="56"/>
      <c r="O23" s="56"/>
      <c r="P23" s="56"/>
      <c r="R23" s="58"/>
      <c r="S23" s="56"/>
    </row>
    <row r="24" spans="1:20" ht="13.5" x14ac:dyDescent="0.25">
      <c r="B24" s="59"/>
      <c r="C24" s="60"/>
      <c r="N24" s="61"/>
      <c r="O24" s="61"/>
      <c r="P24" s="62" t="s">
        <v>48</v>
      </c>
      <c r="Q24" s="63">
        <f ca="1">TODAY()</f>
        <v>42230</v>
      </c>
      <c r="R24" s="64">
        <f ca="1">NOW()</f>
        <v>42230.789250000002</v>
      </c>
      <c r="S24" s="65"/>
    </row>
    <row r="25" spans="1:20" hidden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/>
      <c r="O25" s="67"/>
      <c r="P25" s="67"/>
      <c r="Q25" s="68">
        <f ca="1">HOUR(R24)</f>
        <v>18</v>
      </c>
      <c r="R25" s="68">
        <f ca="1">MINUTE(R24)</f>
        <v>56</v>
      </c>
      <c r="S25" s="69"/>
      <c r="T25" s="66"/>
    </row>
    <row r="26" spans="1:20" hidden="1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7"/>
      <c r="O26" s="67"/>
      <c r="P26" s="66"/>
      <c r="Q26" s="68"/>
      <c r="R26" s="70">
        <f ca="1">TIME(Q25,R25,0)</f>
        <v>0.78888888888888886</v>
      </c>
      <c r="S26" s="69"/>
      <c r="T26" s="66"/>
    </row>
    <row r="27" spans="1:20" x14ac:dyDescent="0.2">
      <c r="N27" s="56"/>
      <c r="O27" s="56"/>
      <c r="P27" s="56"/>
      <c r="Q27" s="65"/>
      <c r="R27" s="65"/>
      <c r="S27" s="65"/>
    </row>
    <row r="28" spans="1:20" x14ac:dyDescent="0.2">
      <c r="N28" s="56"/>
      <c r="O28" s="56"/>
      <c r="P28" s="56"/>
      <c r="Q28" s="196" t="s">
        <v>18</v>
      </c>
      <c r="R28" s="196" t="s">
        <v>19</v>
      </c>
      <c r="S28" s="65"/>
    </row>
    <row r="29" spans="1:20" x14ac:dyDescent="0.2">
      <c r="N29" s="56"/>
      <c r="O29" s="56"/>
      <c r="P29" s="56"/>
      <c r="Q29" s="65"/>
      <c r="R29" s="65"/>
      <c r="S29" s="65"/>
    </row>
  </sheetData>
  <sheetProtection sheet="1" objects="1" scenarios="1"/>
  <mergeCells count="30">
    <mergeCell ref="Q11:R11"/>
    <mergeCell ref="Q13:R13"/>
    <mergeCell ref="G15:O15"/>
    <mergeCell ref="Q28:R28"/>
    <mergeCell ref="H10:I10"/>
    <mergeCell ref="J10:K10"/>
    <mergeCell ref="L10:M10"/>
    <mergeCell ref="H11:I11"/>
    <mergeCell ref="J11:K11"/>
    <mergeCell ref="L11:M11"/>
    <mergeCell ref="Q7:R7"/>
    <mergeCell ref="H8:I8"/>
    <mergeCell ref="J8:K8"/>
    <mergeCell ref="L8:M8"/>
    <mergeCell ref="H9:I9"/>
    <mergeCell ref="J9:K9"/>
    <mergeCell ref="L9:M9"/>
    <mergeCell ref="Q9:R9"/>
    <mergeCell ref="H6:I6"/>
    <mergeCell ref="J6:K6"/>
    <mergeCell ref="L6:M6"/>
    <mergeCell ref="H7:I7"/>
    <mergeCell ref="J7:K7"/>
    <mergeCell ref="L7:M7"/>
    <mergeCell ref="A1:S2"/>
    <mergeCell ref="B4:M4"/>
    <mergeCell ref="P4:S5"/>
    <mergeCell ref="H5:I5"/>
    <mergeCell ref="J5:K5"/>
    <mergeCell ref="L5:M5"/>
  </mergeCells>
  <conditionalFormatting sqref="B6:M6">
    <cfRule type="expression" dxfId="80" priority="1" stopIfTrue="1">
      <formula>IF(OR($L$6="en juego",$L$6="hoy!"),1,0)</formula>
    </cfRule>
  </conditionalFormatting>
  <conditionalFormatting sqref="B7:M7">
    <cfRule type="expression" dxfId="79" priority="2" stopIfTrue="1">
      <formula>IF(OR($L$7="en juego",$L$7="hoy!"),1,0)</formula>
    </cfRule>
  </conditionalFormatting>
  <conditionalFormatting sqref="B8:G8 H8:I9 J8:M8">
    <cfRule type="expression" dxfId="78" priority="3" stopIfTrue="1">
      <formula>IF(OR($L$8="en juego",$L$8="hoy!"),1,0)</formula>
    </cfRule>
  </conditionalFormatting>
  <conditionalFormatting sqref="B9:G9 J9:M9">
    <cfRule type="expression" dxfId="77" priority="4" stopIfTrue="1">
      <formula>IF(OR($L$9="en juego",$L$9="hoy!"),1,0)</formula>
    </cfRule>
  </conditionalFormatting>
  <conditionalFormatting sqref="B10:G10 H10:I11 J10:M10">
    <cfRule type="expression" dxfId="76" priority="5" stopIfTrue="1">
      <formula>IF(OR($L$10="en juego",$L$10="hoy!"),1,0)</formula>
    </cfRule>
  </conditionalFormatting>
  <conditionalFormatting sqref="B11:G11 J11:M11">
    <cfRule type="expression" dxfId="75" priority="6" stopIfTrue="1">
      <formula>IF(OR($L$11="en juego",$L$11="hoy!"),1,0)</formula>
    </cfRule>
  </conditionalFormatting>
  <conditionalFormatting sqref="F17:F18">
    <cfRule type="expression" dxfId="74" priority="7" stopIfTrue="1">
      <formula>IF(AND($H$17=3,$H$18=3,$H$19=3,$H$20=3),1,0)</formula>
    </cfRule>
  </conditionalFormatting>
  <conditionalFormatting sqref="G17:O18">
    <cfRule type="expression" dxfId="73" priority="8" stopIfTrue="1">
      <formula>IF(AND($H$17=3,$H$18=3,$H$19=3,$H$20=3),1,0)</formula>
    </cfRule>
  </conditionalFormatting>
  <dataValidations count="1">
    <dataValidation type="whole" allowBlank="1" showErrorMessage="1" errorTitle="Dato no válido" error="Ingrese sólo un número entero_x000a_entre 0 y 99." sqref="C6:C11 E6:E11">
      <formula1>0</formula1>
      <formula2>99</formula2>
    </dataValidation>
  </dataValidations>
  <hyperlinks>
    <hyperlink ref="Q28" location="Portada!A1" display="Menu Principal"/>
    <hyperlink ref="R28" location="Portada!A1" display="#Portada.A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showGridLines="0" showRowColHeaders="0" showOutlineSymbols="0" workbookViewId="0"/>
  </sheetViews>
  <sheetFormatPr baseColWidth="10" defaultRowHeight="12.75" x14ac:dyDescent="0.2"/>
  <cols>
    <col min="1" max="1" width="2.7109375" style="13" customWidth="1"/>
    <col min="2" max="2" width="14.28515625" style="13" customWidth="1"/>
    <col min="3" max="3" width="3.28515625" style="13" customWidth="1"/>
    <col min="4" max="4" width="1.7109375" style="13" customWidth="1"/>
    <col min="5" max="5" width="3.42578125" style="13" customWidth="1"/>
    <col min="6" max="6" width="14.28515625" style="13" customWidth="1"/>
    <col min="7" max="7" width="14.7109375" style="13" customWidth="1"/>
    <col min="8" max="12" width="3.7109375" style="13" customWidth="1"/>
    <col min="13" max="14" width="3.85546875" style="13" customWidth="1"/>
    <col min="15" max="15" width="4.7109375" style="13" customWidth="1"/>
    <col min="16" max="16" width="5.7109375" style="13" customWidth="1"/>
    <col min="17" max="18" width="7.7109375" style="13" customWidth="1"/>
    <col min="19" max="19" width="5.7109375" style="13" customWidth="1"/>
    <col min="20" max="20" width="7.7109375" style="13" customWidth="1"/>
    <col min="21" max="16384" width="11.42578125" style="13"/>
  </cols>
  <sheetData>
    <row r="1" spans="1:20" s="15" customFormat="1" ht="35.1" customHeight="1" x14ac:dyDescent="0.2">
      <c r="A1" s="187" t="s">
        <v>20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4"/>
    </row>
    <row r="2" spans="1:20" s="15" customFormat="1" ht="35.1" customHeigh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6"/>
    </row>
    <row r="3" spans="1:20" ht="21" customHeight="1" x14ac:dyDescent="0.2">
      <c r="G3" s="17"/>
      <c r="L3" s="18"/>
      <c r="M3" s="19"/>
      <c r="R3" s="17"/>
    </row>
    <row r="4" spans="1:20" ht="12.75" customHeight="1" x14ac:dyDescent="0.2">
      <c r="B4" s="188" t="s">
        <v>21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P4" s="197" t="s">
        <v>66</v>
      </c>
      <c r="Q4" s="197"/>
      <c r="R4" s="197"/>
      <c r="S4" s="197"/>
    </row>
    <row r="5" spans="1:20" ht="12.75" customHeight="1" x14ac:dyDescent="0.2">
      <c r="B5" s="20"/>
      <c r="C5" s="20"/>
      <c r="D5" s="20"/>
      <c r="E5" s="20"/>
      <c r="F5" s="20"/>
      <c r="G5" s="21" t="s">
        <v>23</v>
      </c>
      <c r="H5" s="190" t="s">
        <v>24</v>
      </c>
      <c r="I5" s="190"/>
      <c r="J5" s="191" t="s">
        <v>25</v>
      </c>
      <c r="K5" s="191"/>
      <c r="L5" s="191" t="s">
        <v>26</v>
      </c>
      <c r="M5" s="191"/>
      <c r="P5" s="197"/>
      <c r="Q5" s="197"/>
      <c r="R5" s="197"/>
      <c r="S5" s="197"/>
    </row>
    <row r="6" spans="1:20" ht="14.25" customHeight="1" x14ac:dyDescent="0.2">
      <c r="A6" s="22" t="str">
        <f t="shared" ref="A6:A11" ca="1" si="0">IF(OR(L6="finalizado",L6="en juego",L6="hoy!"),"Ø","")</f>
        <v/>
      </c>
      <c r="B6" s="23" t="str">
        <f>Q7</f>
        <v>Mexico</v>
      </c>
      <c r="C6" s="24"/>
      <c r="D6" s="25" t="s">
        <v>27</v>
      </c>
      <c r="E6" s="24"/>
      <c r="F6" s="26" t="str">
        <f>Q9</f>
        <v>Iran</v>
      </c>
      <c r="G6" s="27" t="s">
        <v>52</v>
      </c>
      <c r="H6" s="192">
        <v>38879</v>
      </c>
      <c r="I6" s="192"/>
      <c r="J6" s="193">
        <v>0.54166666666666663</v>
      </c>
      <c r="K6" s="193"/>
      <c r="L6" s="194" t="str">
        <f t="shared" ref="L6:L11" ca="1" si="1">IF(OR(H6="",J6="",H6&lt;$Q$24),"",IF(H6=$Q$24,IF(AND(J6&lt;=$R$26,$R$26&lt;=(J6+0.08333333333)),"en juego",IF($R$26&lt;J6,"hoy!","finalizado")),IF($Q$24&gt;H6,"finalizado","")))</f>
        <v/>
      </c>
      <c r="M6" s="194"/>
      <c r="R6" s="17"/>
    </row>
    <row r="7" spans="1:20" ht="14.25" customHeight="1" x14ac:dyDescent="0.35">
      <c r="A7" s="22" t="str">
        <f t="shared" ca="1" si="0"/>
        <v/>
      </c>
      <c r="B7" s="23" t="str">
        <f>Q11</f>
        <v>Angola</v>
      </c>
      <c r="C7" s="24"/>
      <c r="D7" s="25" t="s">
        <v>27</v>
      </c>
      <c r="E7" s="24"/>
      <c r="F7" s="26" t="str">
        <f>Q13</f>
        <v>Portugal</v>
      </c>
      <c r="G7" s="27" t="s">
        <v>54</v>
      </c>
      <c r="H7" s="192">
        <v>38879</v>
      </c>
      <c r="I7" s="192"/>
      <c r="J7" s="193">
        <v>0.66666666666666663</v>
      </c>
      <c r="K7" s="193"/>
      <c r="L7" s="194" t="str">
        <f t="shared" ca="1" si="1"/>
        <v/>
      </c>
      <c r="M7" s="194"/>
      <c r="N7" s="28"/>
      <c r="O7" s="29"/>
      <c r="P7" s="30"/>
      <c r="Q7" s="195" t="s">
        <v>67</v>
      </c>
      <c r="R7" s="195"/>
      <c r="S7" s="30"/>
    </row>
    <row r="8" spans="1:20" ht="14.25" customHeight="1" x14ac:dyDescent="0.4">
      <c r="A8" s="22" t="str">
        <f t="shared" ca="1" si="0"/>
        <v/>
      </c>
      <c r="B8" s="23" t="str">
        <f>Q7</f>
        <v>Mexico</v>
      </c>
      <c r="C8" s="24"/>
      <c r="D8" s="25" t="s">
        <v>27</v>
      </c>
      <c r="E8" s="24"/>
      <c r="F8" s="26" t="str">
        <f>Q11</f>
        <v>Angola</v>
      </c>
      <c r="G8" s="27" t="s">
        <v>35</v>
      </c>
      <c r="H8" s="192">
        <v>38884</v>
      </c>
      <c r="I8" s="192"/>
      <c r="J8" s="193">
        <v>0.66666666666666663</v>
      </c>
      <c r="K8" s="193"/>
      <c r="L8" s="194" t="str">
        <f t="shared" ca="1" si="1"/>
        <v/>
      </c>
      <c r="M8" s="194"/>
      <c r="N8" s="31"/>
      <c r="O8" s="32"/>
      <c r="P8" s="33"/>
      <c r="Q8" s="34"/>
      <c r="R8" s="35"/>
      <c r="S8" s="33"/>
    </row>
    <row r="9" spans="1:20" ht="14.25" customHeight="1" x14ac:dyDescent="0.2">
      <c r="A9" s="22" t="str">
        <f t="shared" ca="1" si="0"/>
        <v/>
      </c>
      <c r="B9" s="23" t="str">
        <f>Q13</f>
        <v>Portugal</v>
      </c>
      <c r="C9" s="24"/>
      <c r="D9" s="25" t="s">
        <v>27</v>
      </c>
      <c r="E9" s="24"/>
      <c r="F9" s="26" t="str">
        <f>Q9</f>
        <v>Iran</v>
      </c>
      <c r="G9" s="27" t="s">
        <v>50</v>
      </c>
      <c r="H9" s="192">
        <v>38885</v>
      </c>
      <c r="I9" s="192"/>
      <c r="J9" s="193">
        <v>0.41666666666666669</v>
      </c>
      <c r="K9" s="193"/>
      <c r="L9" s="194" t="str">
        <f t="shared" ca="1" si="1"/>
        <v/>
      </c>
      <c r="M9" s="194"/>
      <c r="P9" s="30"/>
      <c r="Q9" s="195" t="s">
        <v>68</v>
      </c>
      <c r="R9" s="195"/>
      <c r="S9" s="30"/>
    </row>
    <row r="10" spans="1:20" ht="14.25" customHeight="1" x14ac:dyDescent="0.2">
      <c r="A10" s="22" t="str">
        <f t="shared" ca="1" si="0"/>
        <v/>
      </c>
      <c r="B10" s="23" t="str">
        <f>Q13</f>
        <v>Portugal</v>
      </c>
      <c r="C10" s="24"/>
      <c r="D10" s="25" t="s">
        <v>27</v>
      </c>
      <c r="E10" s="24"/>
      <c r="F10" s="26" t="str">
        <f>Q7</f>
        <v>Mexico</v>
      </c>
      <c r="G10" s="27" t="s">
        <v>29</v>
      </c>
      <c r="H10" s="192">
        <v>38889</v>
      </c>
      <c r="I10" s="192"/>
      <c r="J10" s="193">
        <v>0.66666666666666663</v>
      </c>
      <c r="K10" s="193"/>
      <c r="L10" s="194" t="str">
        <f t="shared" ca="1" si="1"/>
        <v/>
      </c>
      <c r="M10" s="194"/>
      <c r="P10" s="33"/>
      <c r="Q10" s="34"/>
      <c r="R10" s="35"/>
      <c r="S10" s="33"/>
    </row>
    <row r="11" spans="1:20" ht="14.25" customHeight="1" x14ac:dyDescent="0.2">
      <c r="A11" s="22" t="str">
        <f t="shared" ca="1" si="0"/>
        <v/>
      </c>
      <c r="B11" s="23" t="str">
        <f>Q9</f>
        <v>Iran</v>
      </c>
      <c r="C11" s="24"/>
      <c r="D11" s="25" t="s">
        <v>27</v>
      </c>
      <c r="E11" s="24"/>
      <c r="F11" s="26" t="str">
        <f>Q11</f>
        <v>Angola</v>
      </c>
      <c r="G11" s="27" t="s">
        <v>60</v>
      </c>
      <c r="H11" s="192">
        <v>38889</v>
      </c>
      <c r="I11" s="192"/>
      <c r="J11" s="193">
        <v>0.66666666666666663</v>
      </c>
      <c r="K11" s="193"/>
      <c r="L11" s="194" t="str">
        <f t="shared" ca="1" si="1"/>
        <v/>
      </c>
      <c r="M11" s="194"/>
      <c r="P11" s="30"/>
      <c r="Q11" s="195" t="s">
        <v>69</v>
      </c>
      <c r="R11" s="195"/>
      <c r="S11" s="30"/>
    </row>
    <row r="12" spans="1:20" ht="13.5" customHeight="1" x14ac:dyDescent="0.2">
      <c r="B12" s="36"/>
      <c r="C12" s="37"/>
      <c r="D12" s="38"/>
      <c r="E12" s="37"/>
      <c r="F12" s="20"/>
      <c r="G12" s="39"/>
      <c r="H12" s="38"/>
      <c r="I12" s="40"/>
      <c r="J12" s="18"/>
      <c r="K12" s="41"/>
      <c r="L12" s="42"/>
      <c r="M12" s="42"/>
      <c r="P12" s="33"/>
      <c r="Q12" s="34"/>
      <c r="R12" s="35"/>
      <c r="S12" s="33"/>
    </row>
    <row r="13" spans="1:20" ht="13.5" customHeight="1" x14ac:dyDescent="0.2">
      <c r="B13" s="36"/>
      <c r="C13" s="37"/>
      <c r="D13" s="38"/>
      <c r="E13" s="37"/>
      <c r="F13" s="20"/>
      <c r="G13" s="39"/>
      <c r="H13" s="38"/>
      <c r="I13" s="38"/>
      <c r="J13" s="18"/>
      <c r="K13" s="43"/>
      <c r="L13" s="42"/>
      <c r="M13" s="42"/>
      <c r="P13" s="30"/>
      <c r="Q13" s="195" t="s">
        <v>70</v>
      </c>
      <c r="R13" s="195"/>
      <c r="S13" s="30"/>
    </row>
    <row r="14" spans="1:20" ht="13.5" customHeight="1" x14ac:dyDescent="0.2">
      <c r="B14" s="36"/>
      <c r="C14" s="37"/>
      <c r="D14" s="38"/>
      <c r="E14" s="37"/>
      <c r="F14" s="20"/>
      <c r="G14" s="39"/>
      <c r="H14" s="38"/>
      <c r="I14" s="38"/>
      <c r="J14" s="18"/>
      <c r="K14" s="43"/>
      <c r="L14" s="42"/>
      <c r="M14" s="42"/>
      <c r="Q14" s="45"/>
      <c r="R14" s="71"/>
    </row>
    <row r="15" spans="1:20" x14ac:dyDescent="0.2">
      <c r="G15" s="188" t="s">
        <v>38</v>
      </c>
      <c r="H15" s="188"/>
      <c r="I15" s="188"/>
      <c r="J15" s="188"/>
      <c r="K15" s="188"/>
      <c r="L15" s="188"/>
      <c r="M15" s="188"/>
      <c r="N15" s="188"/>
      <c r="O15" s="188"/>
      <c r="R15" s="17"/>
    </row>
    <row r="16" spans="1:20" x14ac:dyDescent="0.2">
      <c r="G16" s="47"/>
      <c r="H16" s="48" t="s">
        <v>39</v>
      </c>
      <c r="I16" s="48" t="s">
        <v>40</v>
      </c>
      <c r="J16" s="48" t="s">
        <v>41</v>
      </c>
      <c r="K16" s="48" t="s">
        <v>42</v>
      </c>
      <c r="L16" s="48" t="s">
        <v>43</v>
      </c>
      <c r="M16" s="48" t="s">
        <v>44</v>
      </c>
      <c r="N16" s="48" t="s">
        <v>45</v>
      </c>
      <c r="O16" s="48" t="s">
        <v>46</v>
      </c>
      <c r="R16" s="17"/>
    </row>
    <row r="17" spans="1:20" x14ac:dyDescent="0.2">
      <c r="F17" s="49" t="s">
        <v>58</v>
      </c>
      <c r="G17" s="50" t="str">
        <f>calculoD!F52</f>
        <v>Mexico</v>
      </c>
      <c r="H17" s="26">
        <f>calculoD!G52</f>
        <v>0</v>
      </c>
      <c r="I17" s="26">
        <f>calculoD!H52</f>
        <v>0</v>
      </c>
      <c r="J17" s="26">
        <f>calculoD!I52</f>
        <v>0</v>
      </c>
      <c r="K17" s="26">
        <f>calculoD!J52</f>
        <v>0</v>
      </c>
      <c r="L17" s="26">
        <f>calculoD!K52</f>
        <v>0</v>
      </c>
      <c r="M17" s="26">
        <f>calculoD!L52</f>
        <v>0</v>
      </c>
      <c r="N17" s="26">
        <f>L17-M17</f>
        <v>0</v>
      </c>
      <c r="O17" s="26">
        <f>calculoD!M52</f>
        <v>0</v>
      </c>
      <c r="P17" s="51"/>
      <c r="Q17" s="52"/>
      <c r="R17" s="53"/>
      <c r="S17" s="52"/>
    </row>
    <row r="18" spans="1:20" x14ac:dyDescent="0.2">
      <c r="F18" s="49" t="s">
        <v>58</v>
      </c>
      <c r="G18" s="50" t="str">
        <f>calculoD!F53</f>
        <v>Iran</v>
      </c>
      <c r="H18" s="26">
        <f>calculoD!G53</f>
        <v>0</v>
      </c>
      <c r="I18" s="26">
        <f>calculoD!H53</f>
        <v>0</v>
      </c>
      <c r="J18" s="26">
        <f>calculoD!I53</f>
        <v>0</v>
      </c>
      <c r="K18" s="26">
        <f>calculoD!J53</f>
        <v>0</v>
      </c>
      <c r="L18" s="26">
        <f>calculoD!K53</f>
        <v>0</v>
      </c>
      <c r="M18" s="26">
        <f>calculoD!L53</f>
        <v>0</v>
      </c>
      <c r="N18" s="26">
        <f>L18-M18</f>
        <v>0</v>
      </c>
      <c r="O18" s="26">
        <f>calculoD!M53</f>
        <v>0</v>
      </c>
      <c r="P18" s="51"/>
      <c r="Q18" s="52"/>
      <c r="R18" s="53"/>
      <c r="S18" s="52"/>
    </row>
    <row r="19" spans="1:20" x14ac:dyDescent="0.2">
      <c r="F19" s="52"/>
      <c r="G19" s="50" t="str">
        <f>calculoD!F54</f>
        <v>Angola</v>
      </c>
      <c r="H19" s="26">
        <f>calculoD!G54</f>
        <v>0</v>
      </c>
      <c r="I19" s="26">
        <f>calculoD!H54</f>
        <v>0</v>
      </c>
      <c r="J19" s="26">
        <f>calculoD!I54</f>
        <v>0</v>
      </c>
      <c r="K19" s="26">
        <f>calculoD!J54</f>
        <v>0</v>
      </c>
      <c r="L19" s="26">
        <f>calculoD!K54</f>
        <v>0</v>
      </c>
      <c r="M19" s="26">
        <f>calculoD!L54</f>
        <v>0</v>
      </c>
      <c r="N19" s="26">
        <f>L19-M19</f>
        <v>0</v>
      </c>
      <c r="O19" s="26">
        <f>calculoD!M54</f>
        <v>0</v>
      </c>
      <c r="P19" s="54"/>
      <c r="Q19" s="52"/>
      <c r="R19" s="53"/>
      <c r="S19" s="52"/>
    </row>
    <row r="20" spans="1:20" x14ac:dyDescent="0.2">
      <c r="F20" s="52"/>
      <c r="G20" s="50" t="str">
        <f>calculoD!F55</f>
        <v>Portugal</v>
      </c>
      <c r="H20" s="26">
        <f>calculoD!G55</f>
        <v>0</v>
      </c>
      <c r="I20" s="26">
        <f>calculoD!H55</f>
        <v>0</v>
      </c>
      <c r="J20" s="26">
        <f>calculoD!I55</f>
        <v>0</v>
      </c>
      <c r="K20" s="26">
        <f>calculoD!J55</f>
        <v>0</v>
      </c>
      <c r="L20" s="26">
        <f>calculoD!K55</f>
        <v>0</v>
      </c>
      <c r="M20" s="26">
        <f>calculoD!L55</f>
        <v>0</v>
      </c>
      <c r="N20" s="26">
        <f>L20-M20</f>
        <v>0</v>
      </c>
      <c r="O20" s="26">
        <f>calculoD!M55</f>
        <v>0</v>
      </c>
      <c r="P20" s="54"/>
      <c r="Q20" s="54"/>
      <c r="R20" s="55"/>
      <c r="S20" s="54"/>
    </row>
    <row r="21" spans="1:20" x14ac:dyDescent="0.2">
      <c r="N21" s="56"/>
      <c r="O21" s="56"/>
      <c r="P21" s="56"/>
      <c r="Q21" s="56"/>
      <c r="R21" s="57"/>
      <c r="S21" s="56"/>
    </row>
    <row r="22" spans="1:20" ht="11.25" customHeight="1" x14ac:dyDescent="0.2">
      <c r="N22" s="56"/>
      <c r="O22" s="56"/>
      <c r="P22" s="56"/>
      <c r="Q22" s="56"/>
      <c r="R22" s="57"/>
      <c r="S22" s="56"/>
    </row>
    <row r="23" spans="1:20" ht="9" customHeight="1" x14ac:dyDescent="0.2">
      <c r="N23" s="56"/>
      <c r="O23" s="56"/>
      <c r="P23" s="56"/>
      <c r="R23" s="58"/>
      <c r="S23" s="56"/>
    </row>
    <row r="24" spans="1:20" ht="13.5" x14ac:dyDescent="0.25">
      <c r="B24" s="59"/>
      <c r="C24" s="60"/>
      <c r="N24" s="61"/>
      <c r="O24" s="61"/>
      <c r="P24" s="62" t="s">
        <v>48</v>
      </c>
      <c r="Q24" s="63">
        <f ca="1">TODAY()</f>
        <v>42230</v>
      </c>
      <c r="R24" s="64">
        <f ca="1">NOW()</f>
        <v>42230.789250000002</v>
      </c>
      <c r="S24" s="65"/>
    </row>
    <row r="25" spans="1:20" hidden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/>
      <c r="O25" s="67"/>
      <c r="P25" s="67"/>
      <c r="Q25" s="68">
        <f ca="1">HOUR(R24)</f>
        <v>18</v>
      </c>
      <c r="R25" s="68">
        <f ca="1">MINUTE(R24)</f>
        <v>56</v>
      </c>
      <c r="S25" s="69"/>
      <c r="T25" s="66"/>
    </row>
    <row r="26" spans="1:20" hidden="1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7"/>
      <c r="O26" s="67"/>
      <c r="P26" s="66"/>
      <c r="Q26" s="68"/>
      <c r="R26" s="70">
        <f ca="1">TIME(Q25,R25,0)</f>
        <v>0.78888888888888886</v>
      </c>
      <c r="S26" s="69"/>
      <c r="T26" s="66"/>
    </row>
    <row r="27" spans="1:20" x14ac:dyDescent="0.2">
      <c r="N27" s="56"/>
      <c r="O27" s="56"/>
      <c r="P27" s="56"/>
      <c r="Q27" s="65"/>
      <c r="R27" s="65"/>
      <c r="S27" s="65"/>
    </row>
    <row r="28" spans="1:20" x14ac:dyDescent="0.2">
      <c r="N28" s="56"/>
      <c r="O28" s="56"/>
      <c r="P28" s="56"/>
      <c r="Q28" s="196" t="s">
        <v>18</v>
      </c>
      <c r="R28" s="196" t="s">
        <v>19</v>
      </c>
      <c r="S28" s="65"/>
    </row>
    <row r="29" spans="1:20" x14ac:dyDescent="0.2">
      <c r="N29" s="56"/>
      <c r="O29" s="56"/>
      <c r="P29" s="56"/>
      <c r="Q29" s="65"/>
      <c r="R29" s="65"/>
      <c r="S29" s="65"/>
    </row>
  </sheetData>
  <sheetProtection sheet="1" objects="1" scenarios="1"/>
  <mergeCells count="30">
    <mergeCell ref="Q11:R11"/>
    <mergeCell ref="Q13:R13"/>
    <mergeCell ref="G15:O15"/>
    <mergeCell ref="Q28:R28"/>
    <mergeCell ref="H10:I10"/>
    <mergeCell ref="J10:K10"/>
    <mergeCell ref="L10:M10"/>
    <mergeCell ref="H11:I11"/>
    <mergeCell ref="J11:K11"/>
    <mergeCell ref="L11:M11"/>
    <mergeCell ref="Q7:R7"/>
    <mergeCell ref="H8:I8"/>
    <mergeCell ref="J8:K8"/>
    <mergeCell ref="L8:M8"/>
    <mergeCell ref="H9:I9"/>
    <mergeCell ref="J9:K9"/>
    <mergeCell ref="L9:M9"/>
    <mergeCell ref="Q9:R9"/>
    <mergeCell ref="H6:I6"/>
    <mergeCell ref="J6:K6"/>
    <mergeCell ref="L6:M6"/>
    <mergeCell ref="H7:I7"/>
    <mergeCell ref="J7:K7"/>
    <mergeCell ref="L7:M7"/>
    <mergeCell ref="A1:S2"/>
    <mergeCell ref="B4:M4"/>
    <mergeCell ref="P4:S5"/>
    <mergeCell ref="H5:I5"/>
    <mergeCell ref="J5:K5"/>
    <mergeCell ref="L5:M5"/>
  </mergeCells>
  <conditionalFormatting sqref="B6:M6">
    <cfRule type="expression" dxfId="72" priority="1" stopIfTrue="1">
      <formula>IF(OR($L$6="en juego",$L$6="hoy!"),1,0)</formula>
    </cfRule>
  </conditionalFormatting>
  <conditionalFormatting sqref="B7:I7 J7:K8 J10:K11 L7:M7">
    <cfRule type="expression" dxfId="71" priority="2" stopIfTrue="1">
      <formula>IF(OR($L$7="en juego",$L$7="hoy!"),1,0)</formula>
    </cfRule>
  </conditionalFormatting>
  <conditionalFormatting sqref="B8:I8 L8:M8">
    <cfRule type="expression" dxfId="70" priority="3" stopIfTrue="1">
      <formula>IF(OR($L$8="en juego",$L$8="hoy!"),1,0)</formula>
    </cfRule>
  </conditionalFormatting>
  <conditionalFormatting sqref="B9:M9">
    <cfRule type="expression" dxfId="69" priority="4" stopIfTrue="1">
      <formula>IF(OR($L$9="en juego",$L$9="hoy!"),1,0)</formula>
    </cfRule>
  </conditionalFormatting>
  <conditionalFormatting sqref="B10:I10 L10:M10">
    <cfRule type="expression" dxfId="68" priority="5" stopIfTrue="1">
      <formula>IF(OR($L$10="en juego",$L$10="hoy!"),1,0)</formula>
    </cfRule>
  </conditionalFormatting>
  <conditionalFormatting sqref="B11:I11 L11:M11">
    <cfRule type="expression" dxfId="67" priority="6" stopIfTrue="1">
      <formula>IF(OR($L$11="en juego",$L$11="hoy!"),1,0)</formula>
    </cfRule>
  </conditionalFormatting>
  <conditionalFormatting sqref="F17:F18">
    <cfRule type="expression" dxfId="66" priority="7" stopIfTrue="1">
      <formula>IF(AND($H$17=3,$H$18=3,$H$19=3,$H$20=3),1,0)</formula>
    </cfRule>
  </conditionalFormatting>
  <conditionalFormatting sqref="G17:O18">
    <cfRule type="expression" dxfId="65" priority="8" stopIfTrue="1">
      <formula>IF(AND($H$17=3,$H$18=3,$H$19=3,$H$20=3),1,0)</formula>
    </cfRule>
  </conditionalFormatting>
  <dataValidations count="1">
    <dataValidation type="whole" allowBlank="1" showErrorMessage="1" errorTitle="Dato no válido" error="Ingrese sólo un número entero_x000a_entre 0 y 99." sqref="C6:C11 E6:E11">
      <formula1>0</formula1>
      <formula2>99</formula2>
    </dataValidation>
  </dataValidations>
  <hyperlinks>
    <hyperlink ref="Q28" location="Portada!A1" display="Menu Principal"/>
    <hyperlink ref="R28" location="Portada!A1" display="#Portada.A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showGridLines="0" showRowColHeaders="0" showOutlineSymbols="0" workbookViewId="0"/>
  </sheetViews>
  <sheetFormatPr baseColWidth="10" defaultRowHeight="12.75" x14ac:dyDescent="0.2"/>
  <cols>
    <col min="1" max="1" width="2.7109375" style="13" customWidth="1"/>
    <col min="2" max="2" width="14.28515625" style="13" customWidth="1"/>
    <col min="3" max="3" width="3.28515625" style="13" customWidth="1"/>
    <col min="4" max="4" width="1.7109375" style="13" customWidth="1"/>
    <col min="5" max="5" width="3.42578125" style="13" customWidth="1"/>
    <col min="6" max="6" width="14.28515625" style="13" customWidth="1"/>
    <col min="7" max="7" width="14.7109375" style="13" customWidth="1"/>
    <col min="8" max="12" width="3.7109375" style="13" customWidth="1"/>
    <col min="13" max="14" width="3.85546875" style="13" customWidth="1"/>
    <col min="15" max="15" width="4.7109375" style="13" customWidth="1"/>
    <col min="16" max="16" width="5.7109375" style="13" customWidth="1"/>
    <col min="17" max="18" width="7.7109375" style="13" customWidth="1"/>
    <col min="19" max="19" width="5.7109375" style="13" customWidth="1"/>
    <col min="20" max="20" width="7.7109375" style="13" customWidth="1"/>
    <col min="21" max="16384" width="11.42578125" style="13"/>
  </cols>
  <sheetData>
    <row r="1" spans="1:20" s="15" customFormat="1" ht="35.1" customHeight="1" x14ac:dyDescent="0.2">
      <c r="A1" s="187" t="s">
        <v>20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4"/>
    </row>
    <row r="2" spans="1:20" s="15" customFormat="1" ht="35.1" customHeigh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6"/>
    </row>
    <row r="3" spans="1:20" ht="21" customHeight="1" x14ac:dyDescent="0.2">
      <c r="G3" s="17"/>
      <c r="L3" s="18"/>
      <c r="M3" s="19"/>
      <c r="R3" s="17"/>
    </row>
    <row r="4" spans="1:20" ht="12.75" customHeight="1" x14ac:dyDescent="0.2">
      <c r="B4" s="188" t="s">
        <v>21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P4" s="197" t="s">
        <v>71</v>
      </c>
      <c r="Q4" s="197"/>
      <c r="R4" s="197"/>
      <c r="S4" s="197"/>
    </row>
    <row r="5" spans="1:20" ht="12.75" customHeight="1" x14ac:dyDescent="0.2">
      <c r="B5" s="20"/>
      <c r="C5" s="20"/>
      <c r="D5" s="20"/>
      <c r="E5" s="20"/>
      <c r="F5" s="20"/>
      <c r="G5" s="21" t="s">
        <v>23</v>
      </c>
      <c r="H5" s="190" t="s">
        <v>24</v>
      </c>
      <c r="I5" s="190"/>
      <c r="J5" s="191" t="s">
        <v>25</v>
      </c>
      <c r="K5" s="191"/>
      <c r="L5" s="191" t="s">
        <v>26</v>
      </c>
      <c r="M5" s="191"/>
      <c r="P5" s="197"/>
      <c r="Q5" s="197"/>
      <c r="R5" s="197"/>
      <c r="S5" s="197"/>
    </row>
    <row r="6" spans="1:20" ht="14.25" customHeight="1" x14ac:dyDescent="0.2">
      <c r="A6" s="22" t="str">
        <f t="shared" ref="A6:A11" ca="1" si="0">IF(OR(L6="finalizado",L6="en juego",L6="hoy!"),"Ø","")</f>
        <v/>
      </c>
      <c r="B6" s="23" t="str">
        <f>Q7</f>
        <v>Italia</v>
      </c>
      <c r="C6" s="24"/>
      <c r="D6" s="25" t="s">
        <v>27</v>
      </c>
      <c r="E6" s="24"/>
      <c r="F6" s="26" t="str">
        <f>Q9</f>
        <v>Ghana</v>
      </c>
      <c r="G6" s="27" t="s">
        <v>35</v>
      </c>
      <c r="H6" s="192">
        <v>38880</v>
      </c>
      <c r="I6" s="192"/>
      <c r="J6" s="193">
        <v>0.41666666666666669</v>
      </c>
      <c r="K6" s="193"/>
      <c r="L6" s="194" t="str">
        <f t="shared" ref="L6:L11" ca="1" si="1">IF(OR(H6="",J6="",H6&lt;$Q$24),"",IF(H6=$Q$24,IF(AND(J6&lt;=$R$26,$R$26&lt;=(J6+0.08333333333)),"en juego",IF($R$26&lt;J6,"hoy!","finalizado")),IF($Q$24&gt;H6,"finalizado","")))</f>
        <v/>
      </c>
      <c r="M6" s="194"/>
      <c r="R6" s="17"/>
    </row>
    <row r="7" spans="1:20" ht="14.25" customHeight="1" x14ac:dyDescent="0.35">
      <c r="A7" s="22" t="str">
        <f t="shared" ca="1" si="0"/>
        <v/>
      </c>
      <c r="B7" s="23" t="str">
        <f>Q11</f>
        <v>EE.UU.</v>
      </c>
      <c r="C7" s="24"/>
      <c r="D7" s="25" t="s">
        <v>27</v>
      </c>
      <c r="E7" s="24"/>
      <c r="F7" s="26" t="str">
        <f>Q13</f>
        <v>Rep. Checa</v>
      </c>
      <c r="G7" s="27" t="s">
        <v>29</v>
      </c>
      <c r="H7" s="192">
        <v>38880</v>
      </c>
      <c r="I7" s="192"/>
      <c r="J7" s="193">
        <v>0.54166666666666663</v>
      </c>
      <c r="K7" s="193"/>
      <c r="L7" s="194" t="str">
        <f t="shared" ca="1" si="1"/>
        <v/>
      </c>
      <c r="M7" s="194"/>
      <c r="N7" s="28"/>
      <c r="O7" s="29"/>
      <c r="P7" s="30"/>
      <c r="Q7" s="195" t="s">
        <v>72</v>
      </c>
      <c r="R7" s="195"/>
      <c r="S7" s="30"/>
    </row>
    <row r="8" spans="1:20" ht="14.25" customHeight="1" x14ac:dyDescent="0.4">
      <c r="A8" s="22" t="str">
        <f t="shared" ca="1" si="0"/>
        <v/>
      </c>
      <c r="B8" s="23" t="str">
        <f>Q7</f>
        <v>Italia</v>
      </c>
      <c r="C8" s="24"/>
      <c r="D8" s="25" t="s">
        <v>27</v>
      </c>
      <c r="E8" s="24"/>
      <c r="F8" s="26" t="str">
        <f>Q11</f>
        <v>EE.UU.</v>
      </c>
      <c r="G8" s="27" t="s">
        <v>55</v>
      </c>
      <c r="H8" s="192">
        <v>38885</v>
      </c>
      <c r="I8" s="192"/>
      <c r="J8" s="193">
        <v>0.54166666666666663</v>
      </c>
      <c r="K8" s="193"/>
      <c r="L8" s="194" t="str">
        <f t="shared" ca="1" si="1"/>
        <v/>
      </c>
      <c r="M8" s="194"/>
      <c r="N8" s="31"/>
      <c r="O8" s="32"/>
      <c r="P8" s="33"/>
      <c r="Q8" s="34"/>
      <c r="R8" s="35"/>
      <c r="S8" s="33"/>
    </row>
    <row r="9" spans="1:20" ht="14.25" customHeight="1" x14ac:dyDescent="0.2">
      <c r="A9" s="22" t="str">
        <f t="shared" ca="1" si="0"/>
        <v/>
      </c>
      <c r="B9" s="23" t="str">
        <f>Q13</f>
        <v>Rep. Checa</v>
      </c>
      <c r="C9" s="24"/>
      <c r="D9" s="25" t="s">
        <v>27</v>
      </c>
      <c r="E9" s="24"/>
      <c r="F9" s="26" t="str">
        <f>Q9</f>
        <v>Ghana</v>
      </c>
      <c r="G9" s="27" t="s">
        <v>54</v>
      </c>
      <c r="H9" s="192">
        <v>38885</v>
      </c>
      <c r="I9" s="192"/>
      <c r="J9" s="193">
        <v>0.66666666666666663</v>
      </c>
      <c r="K9" s="193"/>
      <c r="L9" s="194" t="str">
        <f t="shared" ca="1" si="1"/>
        <v/>
      </c>
      <c r="M9" s="194"/>
      <c r="P9" s="30"/>
      <c r="Q9" s="195" t="s">
        <v>73</v>
      </c>
      <c r="R9" s="195"/>
      <c r="S9" s="30"/>
    </row>
    <row r="10" spans="1:20" ht="14.25" customHeight="1" x14ac:dyDescent="0.2">
      <c r="A10" s="22" t="str">
        <f t="shared" ca="1" si="0"/>
        <v/>
      </c>
      <c r="B10" s="23" t="str">
        <f>Q13</f>
        <v>Rep. Checa</v>
      </c>
      <c r="C10" s="24"/>
      <c r="D10" s="25" t="s">
        <v>27</v>
      </c>
      <c r="E10" s="24"/>
      <c r="F10" s="26" t="str">
        <f>Q7</f>
        <v>Italia</v>
      </c>
      <c r="G10" s="27" t="s">
        <v>32</v>
      </c>
      <c r="H10" s="192">
        <v>38890</v>
      </c>
      <c r="I10" s="192"/>
      <c r="J10" s="193">
        <v>0.45833333333333331</v>
      </c>
      <c r="K10" s="193"/>
      <c r="L10" s="194" t="str">
        <f t="shared" ca="1" si="1"/>
        <v/>
      </c>
      <c r="M10" s="194"/>
      <c r="P10" s="33"/>
      <c r="Q10" s="34"/>
      <c r="R10" s="35"/>
      <c r="S10" s="33"/>
    </row>
    <row r="11" spans="1:20" ht="14.25" customHeight="1" x14ac:dyDescent="0.2">
      <c r="A11" s="22" t="str">
        <f t="shared" ca="1" si="0"/>
        <v/>
      </c>
      <c r="B11" s="23" t="str">
        <f>Q9</f>
        <v>Ghana</v>
      </c>
      <c r="C11" s="24"/>
      <c r="D11" s="25" t="s">
        <v>27</v>
      </c>
      <c r="E11" s="24"/>
      <c r="F11" s="26" t="str">
        <f>Q11</f>
        <v>EE.UU.</v>
      </c>
      <c r="G11" s="27" t="s">
        <v>52</v>
      </c>
      <c r="H11" s="192">
        <v>38890</v>
      </c>
      <c r="I11" s="192"/>
      <c r="J11" s="193">
        <v>0.45833333333333331</v>
      </c>
      <c r="K11" s="193"/>
      <c r="L11" s="194" t="str">
        <f t="shared" ca="1" si="1"/>
        <v/>
      </c>
      <c r="M11" s="194"/>
      <c r="P11" s="30"/>
      <c r="Q11" s="195" t="s">
        <v>74</v>
      </c>
      <c r="R11" s="195"/>
      <c r="S11" s="30"/>
    </row>
    <row r="12" spans="1:20" ht="13.5" customHeight="1" x14ac:dyDescent="0.2">
      <c r="B12" s="36"/>
      <c r="C12" s="37"/>
      <c r="D12" s="38"/>
      <c r="E12" s="37"/>
      <c r="F12" s="20"/>
      <c r="G12" s="39"/>
      <c r="H12" s="38"/>
      <c r="I12" s="40"/>
      <c r="J12" s="18"/>
      <c r="K12" s="41"/>
      <c r="L12" s="42"/>
      <c r="M12" s="42"/>
      <c r="P12" s="33"/>
      <c r="Q12" s="34"/>
      <c r="R12" s="35"/>
      <c r="S12" s="33"/>
    </row>
    <row r="13" spans="1:20" ht="13.5" customHeight="1" x14ac:dyDescent="0.2">
      <c r="B13" s="36"/>
      <c r="C13" s="37"/>
      <c r="D13" s="38"/>
      <c r="E13" s="37"/>
      <c r="F13" s="20"/>
      <c r="G13" s="39"/>
      <c r="H13" s="38"/>
      <c r="I13" s="38"/>
      <c r="J13" s="18"/>
      <c r="K13" s="43"/>
      <c r="L13" s="42"/>
      <c r="M13" s="42"/>
      <c r="P13" s="30"/>
      <c r="Q13" s="195" t="s">
        <v>75</v>
      </c>
      <c r="R13" s="195"/>
      <c r="S13" s="30"/>
    </row>
    <row r="14" spans="1:20" ht="13.5" customHeight="1" x14ac:dyDescent="0.2">
      <c r="B14" s="36"/>
      <c r="C14" s="37"/>
      <c r="D14" s="38"/>
      <c r="E14" s="37"/>
      <c r="F14" s="20"/>
      <c r="G14" s="39"/>
      <c r="H14" s="38"/>
      <c r="I14" s="38"/>
      <c r="J14" s="18"/>
      <c r="K14" s="43"/>
      <c r="L14" s="42"/>
      <c r="M14" s="42"/>
      <c r="Q14" s="45"/>
      <c r="R14" s="71"/>
    </row>
    <row r="15" spans="1:20" x14ac:dyDescent="0.2">
      <c r="G15" s="188" t="s">
        <v>38</v>
      </c>
      <c r="H15" s="188"/>
      <c r="I15" s="188"/>
      <c r="J15" s="188"/>
      <c r="K15" s="188"/>
      <c r="L15" s="188"/>
      <c r="M15" s="188"/>
      <c r="N15" s="188"/>
      <c r="O15" s="188"/>
      <c r="R15" s="17"/>
    </row>
    <row r="16" spans="1:20" x14ac:dyDescent="0.2">
      <c r="G16" s="47"/>
      <c r="H16" s="48" t="s">
        <v>39</v>
      </c>
      <c r="I16" s="48" t="s">
        <v>40</v>
      </c>
      <c r="J16" s="48" t="s">
        <v>41</v>
      </c>
      <c r="K16" s="48" t="s">
        <v>42</v>
      </c>
      <c r="L16" s="48" t="s">
        <v>43</v>
      </c>
      <c r="M16" s="48" t="s">
        <v>44</v>
      </c>
      <c r="N16" s="48" t="s">
        <v>45</v>
      </c>
      <c r="O16" s="48" t="s">
        <v>46</v>
      </c>
      <c r="R16" s="17"/>
    </row>
    <row r="17" spans="1:20" x14ac:dyDescent="0.2">
      <c r="F17" s="49" t="s">
        <v>58</v>
      </c>
      <c r="G17" s="50" t="str">
        <f>calculoE!F52</f>
        <v>Italia</v>
      </c>
      <c r="H17" s="26">
        <f>calculoE!G52</f>
        <v>0</v>
      </c>
      <c r="I17" s="26">
        <f>calculoE!H52</f>
        <v>0</v>
      </c>
      <c r="J17" s="26">
        <f>calculoE!I52</f>
        <v>0</v>
      </c>
      <c r="K17" s="26">
        <f>calculoE!J52</f>
        <v>0</v>
      </c>
      <c r="L17" s="26">
        <f>calculoE!K52</f>
        <v>0</v>
      </c>
      <c r="M17" s="26">
        <f>calculoE!L52</f>
        <v>0</v>
      </c>
      <c r="N17" s="26">
        <f>L17-M17</f>
        <v>0</v>
      </c>
      <c r="O17" s="26">
        <f>calculoE!M52</f>
        <v>0</v>
      </c>
      <c r="P17" s="51"/>
      <c r="Q17" s="52"/>
      <c r="R17" s="53"/>
      <c r="S17" s="52"/>
    </row>
    <row r="18" spans="1:20" x14ac:dyDescent="0.2">
      <c r="F18" s="49" t="s">
        <v>58</v>
      </c>
      <c r="G18" s="50" t="str">
        <f>calculoE!F53</f>
        <v>Ghana</v>
      </c>
      <c r="H18" s="26">
        <f>calculoE!G53</f>
        <v>0</v>
      </c>
      <c r="I18" s="26">
        <f>calculoE!H53</f>
        <v>0</v>
      </c>
      <c r="J18" s="26">
        <f>calculoE!I53</f>
        <v>0</v>
      </c>
      <c r="K18" s="26">
        <f>calculoE!J53</f>
        <v>0</v>
      </c>
      <c r="L18" s="26">
        <f>calculoE!K53</f>
        <v>0</v>
      </c>
      <c r="M18" s="26">
        <f>calculoE!L53</f>
        <v>0</v>
      </c>
      <c r="N18" s="26">
        <f>L18-M18</f>
        <v>0</v>
      </c>
      <c r="O18" s="26">
        <f>calculoE!M53</f>
        <v>0</v>
      </c>
      <c r="P18" s="51"/>
      <c r="Q18" s="52"/>
      <c r="R18" s="53"/>
      <c r="S18" s="52"/>
    </row>
    <row r="19" spans="1:20" x14ac:dyDescent="0.2">
      <c r="F19" s="52"/>
      <c r="G19" s="50" t="str">
        <f>calculoE!F54</f>
        <v>EE.UU.</v>
      </c>
      <c r="H19" s="26">
        <f>calculoE!G54</f>
        <v>0</v>
      </c>
      <c r="I19" s="26">
        <f>calculoE!H54</f>
        <v>0</v>
      </c>
      <c r="J19" s="26">
        <f>calculoE!I54</f>
        <v>0</v>
      </c>
      <c r="K19" s="26">
        <f>calculoE!J54</f>
        <v>0</v>
      </c>
      <c r="L19" s="26">
        <f>calculoE!K54</f>
        <v>0</v>
      </c>
      <c r="M19" s="26">
        <f>calculoE!L54</f>
        <v>0</v>
      </c>
      <c r="N19" s="26">
        <f>L19-M19</f>
        <v>0</v>
      </c>
      <c r="O19" s="26">
        <f>calculoE!M54</f>
        <v>0</v>
      </c>
      <c r="P19" s="54"/>
      <c r="Q19" s="52"/>
      <c r="R19" s="53"/>
      <c r="S19" s="52"/>
    </row>
    <row r="20" spans="1:20" x14ac:dyDescent="0.2">
      <c r="F20" s="52"/>
      <c r="G20" s="50" t="str">
        <f>calculoE!F55</f>
        <v>Rep. Checa</v>
      </c>
      <c r="H20" s="26">
        <f>calculoE!G55</f>
        <v>0</v>
      </c>
      <c r="I20" s="26">
        <f>calculoE!H55</f>
        <v>0</v>
      </c>
      <c r="J20" s="26">
        <f>calculoE!I55</f>
        <v>0</v>
      </c>
      <c r="K20" s="26">
        <f>calculoE!J55</f>
        <v>0</v>
      </c>
      <c r="L20" s="26">
        <f>calculoE!K55</f>
        <v>0</v>
      </c>
      <c r="M20" s="26">
        <f>calculoE!L55</f>
        <v>0</v>
      </c>
      <c r="N20" s="26">
        <f>L20-M20</f>
        <v>0</v>
      </c>
      <c r="O20" s="26">
        <f>calculoE!M55</f>
        <v>0</v>
      </c>
      <c r="P20" s="54"/>
      <c r="Q20" s="54"/>
      <c r="R20" s="55"/>
      <c r="S20" s="54"/>
    </row>
    <row r="21" spans="1:20" x14ac:dyDescent="0.2">
      <c r="N21" s="56"/>
      <c r="O21" s="56"/>
      <c r="P21" s="56"/>
      <c r="Q21" s="56"/>
      <c r="R21" s="57"/>
      <c r="S21" s="56"/>
    </row>
    <row r="22" spans="1:20" ht="11.25" customHeight="1" x14ac:dyDescent="0.2">
      <c r="N22" s="56"/>
      <c r="O22" s="56"/>
      <c r="P22" s="56"/>
      <c r="Q22" s="56"/>
      <c r="R22" s="57"/>
      <c r="S22" s="56"/>
    </row>
    <row r="23" spans="1:20" ht="9" customHeight="1" x14ac:dyDescent="0.2">
      <c r="N23" s="56"/>
      <c r="O23" s="56"/>
      <c r="P23" s="56"/>
      <c r="R23" s="58"/>
      <c r="S23" s="56"/>
    </row>
    <row r="24" spans="1:20" ht="13.5" x14ac:dyDescent="0.25">
      <c r="B24" s="59"/>
      <c r="C24" s="60"/>
      <c r="N24" s="61"/>
      <c r="O24" s="61"/>
      <c r="P24" s="62" t="s">
        <v>48</v>
      </c>
      <c r="Q24" s="63">
        <f ca="1">TODAY()</f>
        <v>42230</v>
      </c>
      <c r="R24" s="64">
        <f ca="1">NOW()</f>
        <v>42230.789250000002</v>
      </c>
      <c r="S24" s="65"/>
    </row>
    <row r="25" spans="1:20" hidden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/>
      <c r="O25" s="67"/>
      <c r="P25" s="67"/>
      <c r="Q25" s="68">
        <f ca="1">HOUR(R24)</f>
        <v>18</v>
      </c>
      <c r="R25" s="68">
        <f ca="1">MINUTE(R24)</f>
        <v>56</v>
      </c>
      <c r="S25" s="69"/>
      <c r="T25" s="66"/>
    </row>
    <row r="26" spans="1:20" hidden="1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7"/>
      <c r="O26" s="67"/>
      <c r="P26" s="66"/>
      <c r="Q26" s="68"/>
      <c r="R26" s="70">
        <f ca="1">TIME(Q25,R25,0)</f>
        <v>0.78888888888888886</v>
      </c>
      <c r="S26" s="69"/>
      <c r="T26" s="66"/>
    </row>
    <row r="27" spans="1:20" x14ac:dyDescent="0.2">
      <c r="N27" s="56"/>
      <c r="O27" s="56"/>
      <c r="P27" s="56"/>
      <c r="Q27" s="65"/>
      <c r="R27" s="65"/>
      <c r="S27" s="65"/>
    </row>
    <row r="28" spans="1:20" x14ac:dyDescent="0.2">
      <c r="N28" s="56"/>
      <c r="O28" s="56"/>
      <c r="P28" s="56"/>
      <c r="Q28" s="196" t="s">
        <v>18</v>
      </c>
      <c r="R28" s="196" t="s">
        <v>19</v>
      </c>
      <c r="S28" s="65"/>
    </row>
    <row r="29" spans="1:20" x14ac:dyDescent="0.2">
      <c r="N29" s="56"/>
      <c r="O29" s="56"/>
      <c r="P29" s="56"/>
      <c r="Q29" s="65"/>
      <c r="R29" s="65"/>
      <c r="S29" s="65"/>
    </row>
  </sheetData>
  <sheetProtection sheet="1" objects="1" scenarios="1"/>
  <mergeCells count="30">
    <mergeCell ref="Q11:R11"/>
    <mergeCell ref="Q13:R13"/>
    <mergeCell ref="G15:O15"/>
    <mergeCell ref="Q28:R28"/>
    <mergeCell ref="H10:I10"/>
    <mergeCell ref="J10:K10"/>
    <mergeCell ref="L10:M10"/>
    <mergeCell ref="H11:I11"/>
    <mergeCell ref="J11:K11"/>
    <mergeCell ref="L11:M11"/>
    <mergeCell ref="Q7:R7"/>
    <mergeCell ref="H8:I8"/>
    <mergeCell ref="J8:K8"/>
    <mergeCell ref="L8:M8"/>
    <mergeCell ref="H9:I9"/>
    <mergeCell ref="J9:K9"/>
    <mergeCell ref="L9:M9"/>
    <mergeCell ref="Q9:R9"/>
    <mergeCell ref="H6:I6"/>
    <mergeCell ref="J6:K6"/>
    <mergeCell ref="L6:M6"/>
    <mergeCell ref="H7:I7"/>
    <mergeCell ref="J7:K7"/>
    <mergeCell ref="L7:M7"/>
    <mergeCell ref="A1:S2"/>
    <mergeCell ref="B4:M4"/>
    <mergeCell ref="P4:S5"/>
    <mergeCell ref="H5:I5"/>
    <mergeCell ref="J5:K5"/>
    <mergeCell ref="L5:M5"/>
  </mergeCells>
  <conditionalFormatting sqref="B6:G6 H6:I7 J6:M6">
    <cfRule type="expression" dxfId="64" priority="1" stopIfTrue="1">
      <formula>IF(OR($L$6="en juego",$L$6="hoy!"),1,0)</formula>
    </cfRule>
  </conditionalFormatting>
  <conditionalFormatting sqref="B7:G7 J7:M7">
    <cfRule type="expression" dxfId="63" priority="2" stopIfTrue="1">
      <formula>IF(OR($L$7="en juego",$L$7="hoy!"),1,0)</formula>
    </cfRule>
  </conditionalFormatting>
  <conditionalFormatting sqref="B8:G8 H8:I9 J8:M8">
    <cfRule type="expression" dxfId="62" priority="3" stopIfTrue="1">
      <formula>IF(OR($L$8="en juego",$L$8="hoy!"),1,0)</formula>
    </cfRule>
  </conditionalFormatting>
  <conditionalFormatting sqref="B9:G9 J9:M9">
    <cfRule type="expression" dxfId="61" priority="4" stopIfTrue="1">
      <formula>IF(OR($L$9="en juego",$L$9="hoy!"),1,0)</formula>
    </cfRule>
  </conditionalFormatting>
  <conditionalFormatting sqref="B10:G10 H10:K11 L10:M10">
    <cfRule type="expression" dxfId="60" priority="5" stopIfTrue="1">
      <formula>IF(OR($L$10="en juego",$L$10="hoy!"),1,0)</formula>
    </cfRule>
  </conditionalFormatting>
  <conditionalFormatting sqref="B11:G11 L11:M11">
    <cfRule type="expression" dxfId="59" priority="6" stopIfTrue="1">
      <formula>IF(OR($L$11="en juego",$L$11="hoy!"),1,0)</formula>
    </cfRule>
  </conditionalFormatting>
  <conditionalFormatting sqref="F17:F18">
    <cfRule type="expression" dxfId="58" priority="7" stopIfTrue="1">
      <formula>IF(AND($H$17=3,$H$18=3,$H$19=3,$H$20=3),1,0)</formula>
    </cfRule>
  </conditionalFormatting>
  <conditionalFormatting sqref="G17:O18">
    <cfRule type="expression" dxfId="57" priority="8" stopIfTrue="1">
      <formula>IF(AND($H$17=3,$H$18=3,$H$19=3,$H$20=3),1,0)</formula>
    </cfRule>
  </conditionalFormatting>
  <dataValidations count="1">
    <dataValidation type="whole" allowBlank="1" showErrorMessage="1" errorTitle="Dato no válido" error="Ingrese sólo un número entero_x000a_entre 0 y 99." sqref="C6:C11 E6:E11">
      <formula1>0</formula1>
      <formula2>99</formula2>
    </dataValidation>
  </dataValidations>
  <hyperlinks>
    <hyperlink ref="Q28" location="Portada!A1" display="Menu Principal"/>
    <hyperlink ref="R28" location="Portada!A1" display="#Portada.A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showGridLines="0" showRowColHeaders="0" showOutlineSymbols="0" workbookViewId="0"/>
  </sheetViews>
  <sheetFormatPr baseColWidth="10" defaultRowHeight="12.75" x14ac:dyDescent="0.2"/>
  <cols>
    <col min="1" max="1" width="2.7109375" style="13" customWidth="1"/>
    <col min="2" max="2" width="14.28515625" style="13" customWidth="1"/>
    <col min="3" max="3" width="3.28515625" style="13" customWidth="1"/>
    <col min="4" max="4" width="1.7109375" style="13" customWidth="1"/>
    <col min="5" max="5" width="3.42578125" style="13" customWidth="1"/>
    <col min="6" max="6" width="14.28515625" style="13" customWidth="1"/>
    <col min="7" max="7" width="14.7109375" style="13" customWidth="1"/>
    <col min="8" max="12" width="3.7109375" style="13" customWidth="1"/>
    <col min="13" max="14" width="3.85546875" style="13" customWidth="1"/>
    <col min="15" max="15" width="4.7109375" style="13" customWidth="1"/>
    <col min="16" max="16" width="5.7109375" style="13" customWidth="1"/>
    <col min="17" max="18" width="7.7109375" style="13" customWidth="1"/>
    <col min="19" max="19" width="5.7109375" style="13" customWidth="1"/>
    <col min="20" max="20" width="7.7109375" style="13" customWidth="1"/>
    <col min="21" max="16384" width="11.42578125" style="13"/>
  </cols>
  <sheetData>
    <row r="1" spans="1:20" s="15" customFormat="1" ht="35.1" customHeight="1" x14ac:dyDescent="0.2">
      <c r="A1" s="187" t="s">
        <v>20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4"/>
    </row>
    <row r="2" spans="1:20" s="15" customFormat="1" ht="35.1" customHeigh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6"/>
    </row>
    <row r="3" spans="1:20" ht="21" customHeight="1" x14ac:dyDescent="0.2">
      <c r="G3" s="17"/>
      <c r="L3" s="18"/>
      <c r="M3" s="19"/>
      <c r="R3" s="17"/>
    </row>
    <row r="4" spans="1:20" ht="12.75" customHeight="1" x14ac:dyDescent="0.2">
      <c r="B4" s="188" t="s">
        <v>21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P4" s="197" t="s">
        <v>76</v>
      </c>
      <c r="Q4" s="197"/>
      <c r="R4" s="197"/>
      <c r="S4" s="197"/>
    </row>
    <row r="5" spans="1:20" ht="12.75" customHeight="1" x14ac:dyDescent="0.2">
      <c r="B5" s="20"/>
      <c r="C5" s="20"/>
      <c r="D5" s="20"/>
      <c r="E5" s="20"/>
      <c r="F5" s="20"/>
      <c r="G5" s="21" t="s">
        <v>23</v>
      </c>
      <c r="H5" s="190" t="s">
        <v>24</v>
      </c>
      <c r="I5" s="190"/>
      <c r="J5" s="191" t="s">
        <v>25</v>
      </c>
      <c r="K5" s="191"/>
      <c r="L5" s="191" t="s">
        <v>26</v>
      </c>
      <c r="M5" s="191"/>
      <c r="P5" s="197"/>
      <c r="Q5" s="197"/>
      <c r="R5" s="197"/>
      <c r="S5" s="197"/>
    </row>
    <row r="6" spans="1:20" ht="14.25" customHeight="1" x14ac:dyDescent="0.2">
      <c r="A6" s="22" t="str">
        <f t="shared" ref="A6:A11" ca="1" si="0">IF(OR(L6="finalizado",L6="en juego",L6="hoy!"),"Ø","")</f>
        <v/>
      </c>
      <c r="B6" s="23" t="str">
        <f>Q7</f>
        <v>Brasil</v>
      </c>
      <c r="C6" s="24"/>
      <c r="D6" s="25" t="s">
        <v>27</v>
      </c>
      <c r="E6" s="24"/>
      <c r="F6" s="26" t="str">
        <f>Q9</f>
        <v>Croacia</v>
      </c>
      <c r="G6" s="27" t="s">
        <v>77</v>
      </c>
      <c r="H6" s="192">
        <v>38880</v>
      </c>
      <c r="I6" s="192"/>
      <c r="J6" s="193">
        <v>0.66666666666666663</v>
      </c>
      <c r="K6" s="193"/>
      <c r="L6" s="194" t="str">
        <f t="shared" ref="L6:L11" ca="1" si="1">IF(OR(H6="",J6="",H6&lt;$Q$24),"",IF(H6=$Q$24,IF(AND(J6&lt;=$R$26,$R$26&lt;=(J6+0.08333333333)),"en juego",IF($R$26&lt;J6,"hoy!","finalizado")),IF($Q$24&gt;H6,"finalizado","")))</f>
        <v/>
      </c>
      <c r="M6" s="194"/>
      <c r="R6" s="17"/>
    </row>
    <row r="7" spans="1:20" ht="14.25" customHeight="1" x14ac:dyDescent="0.35">
      <c r="A7" s="22" t="str">
        <f t="shared" ca="1" si="0"/>
        <v/>
      </c>
      <c r="B7" s="23" t="str">
        <f>Q11</f>
        <v>Australia</v>
      </c>
      <c r="C7" s="24"/>
      <c r="D7" s="25" t="s">
        <v>27</v>
      </c>
      <c r="E7" s="24"/>
      <c r="F7" s="26" t="str">
        <f>Q13</f>
        <v>Japon</v>
      </c>
      <c r="G7" s="27" t="s">
        <v>55</v>
      </c>
      <c r="H7" s="192">
        <v>38881</v>
      </c>
      <c r="I7" s="192"/>
      <c r="J7" s="193">
        <v>0.41666666666666669</v>
      </c>
      <c r="K7" s="193"/>
      <c r="L7" s="194" t="str">
        <f t="shared" ca="1" si="1"/>
        <v/>
      </c>
      <c r="M7" s="194"/>
      <c r="N7" s="28"/>
      <c r="O7" s="29"/>
      <c r="P7" s="30"/>
      <c r="Q7" s="195" t="s">
        <v>78</v>
      </c>
      <c r="R7" s="195"/>
      <c r="S7" s="30"/>
    </row>
    <row r="8" spans="1:20" ht="14.25" customHeight="1" x14ac:dyDescent="0.4">
      <c r="A8" s="22" t="str">
        <f t="shared" ca="1" si="0"/>
        <v/>
      </c>
      <c r="B8" s="23" t="str">
        <f>Q7</f>
        <v>Brasil</v>
      </c>
      <c r="C8" s="24"/>
      <c r="D8" s="25" t="s">
        <v>27</v>
      </c>
      <c r="E8" s="24"/>
      <c r="F8" s="26" t="str">
        <f>Q11</f>
        <v>Australia</v>
      </c>
      <c r="G8" s="27" t="s">
        <v>28</v>
      </c>
      <c r="H8" s="192">
        <v>38886</v>
      </c>
      <c r="I8" s="192"/>
      <c r="J8" s="193">
        <v>0.41666666666666669</v>
      </c>
      <c r="K8" s="193"/>
      <c r="L8" s="194" t="str">
        <f t="shared" ca="1" si="1"/>
        <v/>
      </c>
      <c r="M8" s="194"/>
      <c r="N8" s="31"/>
      <c r="O8" s="32"/>
      <c r="P8" s="33"/>
      <c r="Q8" s="34"/>
      <c r="R8" s="35"/>
      <c r="S8" s="33"/>
    </row>
    <row r="9" spans="1:20" ht="14.25" customHeight="1" x14ac:dyDescent="0.2">
      <c r="A9" s="22" t="str">
        <f t="shared" ca="1" si="0"/>
        <v/>
      </c>
      <c r="B9" s="23" t="str">
        <f>Q13</f>
        <v>Japon</v>
      </c>
      <c r="C9" s="24"/>
      <c r="D9" s="25" t="s">
        <v>27</v>
      </c>
      <c r="E9" s="24"/>
      <c r="F9" s="26" t="str">
        <f>Q9</f>
        <v>Croacia</v>
      </c>
      <c r="G9" s="27" t="s">
        <v>52</v>
      </c>
      <c r="H9" s="192">
        <v>38886</v>
      </c>
      <c r="I9" s="192"/>
      <c r="J9" s="193">
        <v>0.54166666666666663</v>
      </c>
      <c r="K9" s="193"/>
      <c r="L9" s="194" t="str">
        <f t="shared" ca="1" si="1"/>
        <v/>
      </c>
      <c r="M9" s="194"/>
      <c r="P9" s="30"/>
      <c r="Q9" s="195" t="s">
        <v>79</v>
      </c>
      <c r="R9" s="195"/>
      <c r="S9" s="30"/>
    </row>
    <row r="10" spans="1:20" ht="14.25" customHeight="1" x14ac:dyDescent="0.2">
      <c r="A10" s="22" t="str">
        <f t="shared" ca="1" si="0"/>
        <v/>
      </c>
      <c r="B10" s="23" t="str">
        <f>Q13</f>
        <v>Japon</v>
      </c>
      <c r="C10" s="24"/>
      <c r="D10" s="25" t="s">
        <v>27</v>
      </c>
      <c r="E10" s="24"/>
      <c r="F10" s="26" t="str">
        <f>Q7</f>
        <v>Brasil</v>
      </c>
      <c r="G10" s="27" t="s">
        <v>31</v>
      </c>
      <c r="H10" s="192">
        <v>38890</v>
      </c>
      <c r="I10" s="192"/>
      <c r="J10" s="193">
        <v>0.66666666666666663</v>
      </c>
      <c r="K10" s="193"/>
      <c r="L10" s="194" t="str">
        <f t="shared" ca="1" si="1"/>
        <v/>
      </c>
      <c r="M10" s="194"/>
      <c r="P10" s="33"/>
      <c r="Q10" s="34"/>
      <c r="R10" s="35"/>
      <c r="S10" s="33"/>
    </row>
    <row r="11" spans="1:20" ht="14.25" customHeight="1" x14ac:dyDescent="0.2">
      <c r="A11" s="22" t="str">
        <f t="shared" ca="1" si="0"/>
        <v/>
      </c>
      <c r="B11" s="23" t="str">
        <f>Q9</f>
        <v>Croacia</v>
      </c>
      <c r="C11" s="24"/>
      <c r="D11" s="25" t="s">
        <v>27</v>
      </c>
      <c r="E11" s="24"/>
      <c r="F11" s="26" t="str">
        <f>Q11</f>
        <v>Australia</v>
      </c>
      <c r="G11" s="27" t="s">
        <v>62</v>
      </c>
      <c r="H11" s="192">
        <v>38890</v>
      </c>
      <c r="I11" s="192"/>
      <c r="J11" s="193">
        <v>0.66666666666666663</v>
      </c>
      <c r="K11" s="193"/>
      <c r="L11" s="194" t="str">
        <f t="shared" ca="1" si="1"/>
        <v/>
      </c>
      <c r="M11" s="194"/>
      <c r="P11" s="30"/>
      <c r="Q11" s="195" t="s">
        <v>80</v>
      </c>
      <c r="R11" s="195"/>
      <c r="S11" s="30"/>
    </row>
    <row r="12" spans="1:20" ht="13.5" customHeight="1" x14ac:dyDescent="0.2">
      <c r="B12" s="36"/>
      <c r="C12" s="37"/>
      <c r="D12" s="38"/>
      <c r="E12" s="37"/>
      <c r="F12" s="20"/>
      <c r="G12" s="39"/>
      <c r="H12" s="38"/>
      <c r="I12" s="40"/>
      <c r="J12" s="18"/>
      <c r="K12" s="41"/>
      <c r="L12" s="42"/>
      <c r="M12" s="42"/>
      <c r="P12" s="33"/>
      <c r="Q12" s="34"/>
      <c r="R12" s="35"/>
      <c r="S12" s="33"/>
    </row>
    <row r="13" spans="1:20" ht="13.5" customHeight="1" x14ac:dyDescent="0.2">
      <c r="B13" s="36"/>
      <c r="C13" s="37"/>
      <c r="D13" s="38"/>
      <c r="E13" s="37"/>
      <c r="F13" s="20"/>
      <c r="G13" s="39"/>
      <c r="H13" s="38"/>
      <c r="I13" s="38"/>
      <c r="J13" s="18"/>
      <c r="K13" s="43"/>
      <c r="L13" s="42"/>
      <c r="M13" s="42"/>
      <c r="P13" s="30"/>
      <c r="Q13" s="195" t="s">
        <v>81</v>
      </c>
      <c r="R13" s="195"/>
      <c r="S13" s="30"/>
    </row>
    <row r="14" spans="1:20" ht="13.5" customHeight="1" x14ac:dyDescent="0.2">
      <c r="B14" s="36"/>
      <c r="C14" s="37"/>
      <c r="D14" s="38"/>
      <c r="E14" s="37"/>
      <c r="F14" s="20"/>
      <c r="G14" s="39"/>
      <c r="H14" s="38"/>
      <c r="I14" s="38"/>
      <c r="J14" s="18"/>
      <c r="K14" s="43"/>
      <c r="L14" s="42"/>
      <c r="M14" s="42"/>
      <c r="Q14" s="45"/>
      <c r="R14" s="71"/>
    </row>
    <row r="15" spans="1:20" x14ac:dyDescent="0.2">
      <c r="G15" s="188" t="s">
        <v>38</v>
      </c>
      <c r="H15" s="188"/>
      <c r="I15" s="188"/>
      <c r="J15" s="188"/>
      <c r="K15" s="188"/>
      <c r="L15" s="188"/>
      <c r="M15" s="188"/>
      <c r="N15" s="188"/>
      <c r="O15" s="188"/>
      <c r="R15" s="17"/>
    </row>
    <row r="16" spans="1:20" x14ac:dyDescent="0.2">
      <c r="G16" s="47"/>
      <c r="H16" s="48" t="s">
        <v>39</v>
      </c>
      <c r="I16" s="48" t="s">
        <v>40</v>
      </c>
      <c r="J16" s="48" t="s">
        <v>41</v>
      </c>
      <c r="K16" s="48" t="s">
        <v>42</v>
      </c>
      <c r="L16" s="48" t="s">
        <v>43</v>
      </c>
      <c r="M16" s="48" t="s">
        <v>44</v>
      </c>
      <c r="N16" s="48" t="s">
        <v>45</v>
      </c>
      <c r="O16" s="48" t="s">
        <v>46</v>
      </c>
      <c r="R16" s="17"/>
    </row>
    <row r="17" spans="1:20" x14ac:dyDescent="0.2">
      <c r="F17" s="49" t="s">
        <v>58</v>
      </c>
      <c r="G17" s="50" t="str">
        <f>calculoF!F52</f>
        <v>Brasil</v>
      </c>
      <c r="H17" s="26">
        <f>calculoF!G52</f>
        <v>0</v>
      </c>
      <c r="I17" s="26">
        <f>calculoF!H52</f>
        <v>0</v>
      </c>
      <c r="J17" s="26">
        <f>calculoF!I52</f>
        <v>0</v>
      </c>
      <c r="K17" s="26">
        <f>calculoF!J52</f>
        <v>0</v>
      </c>
      <c r="L17" s="26">
        <f>calculoF!K52</f>
        <v>0</v>
      </c>
      <c r="M17" s="26">
        <f>calculoF!L52</f>
        <v>0</v>
      </c>
      <c r="N17" s="26">
        <f>L17-M17</f>
        <v>0</v>
      </c>
      <c r="O17" s="26">
        <f>calculoF!M52</f>
        <v>0</v>
      </c>
      <c r="P17" s="51"/>
      <c r="Q17" s="52"/>
      <c r="R17" s="53"/>
      <c r="S17" s="52"/>
    </row>
    <row r="18" spans="1:20" x14ac:dyDescent="0.2">
      <c r="F18" s="49" t="s">
        <v>58</v>
      </c>
      <c r="G18" s="50" t="str">
        <f>calculoF!F53</f>
        <v>Croacia</v>
      </c>
      <c r="H18" s="26">
        <f>calculoF!G53</f>
        <v>0</v>
      </c>
      <c r="I18" s="26">
        <f>calculoF!H53</f>
        <v>0</v>
      </c>
      <c r="J18" s="26">
        <f>calculoF!I53</f>
        <v>0</v>
      </c>
      <c r="K18" s="26">
        <f>calculoF!J53</f>
        <v>0</v>
      </c>
      <c r="L18" s="26">
        <f>calculoF!K53</f>
        <v>0</v>
      </c>
      <c r="M18" s="26">
        <f>calculoF!L53</f>
        <v>0</v>
      </c>
      <c r="N18" s="26">
        <f>L18-M18</f>
        <v>0</v>
      </c>
      <c r="O18" s="26">
        <f>calculoF!M53</f>
        <v>0</v>
      </c>
      <c r="P18" s="51"/>
      <c r="Q18" s="52"/>
      <c r="R18" s="53"/>
      <c r="S18" s="52"/>
    </row>
    <row r="19" spans="1:20" x14ac:dyDescent="0.2">
      <c r="F19" s="52"/>
      <c r="G19" s="50" t="str">
        <f>calculoF!F54</f>
        <v>Australia</v>
      </c>
      <c r="H19" s="26">
        <f>calculoF!G54</f>
        <v>0</v>
      </c>
      <c r="I19" s="26">
        <f>calculoF!H54</f>
        <v>0</v>
      </c>
      <c r="J19" s="26">
        <f>calculoF!I54</f>
        <v>0</v>
      </c>
      <c r="K19" s="26">
        <f>calculoF!J54</f>
        <v>0</v>
      </c>
      <c r="L19" s="26">
        <f>calculoF!K54</f>
        <v>0</v>
      </c>
      <c r="M19" s="26">
        <f>calculoF!L54</f>
        <v>0</v>
      </c>
      <c r="N19" s="26">
        <f>L19-M19</f>
        <v>0</v>
      </c>
      <c r="O19" s="26">
        <f>calculoF!M54</f>
        <v>0</v>
      </c>
      <c r="P19" s="54"/>
      <c r="Q19" s="52"/>
      <c r="R19" s="53"/>
      <c r="S19" s="52"/>
    </row>
    <row r="20" spans="1:20" x14ac:dyDescent="0.2">
      <c r="F20" s="52"/>
      <c r="G20" s="50" t="str">
        <f>calculoF!F55</f>
        <v>Japon</v>
      </c>
      <c r="H20" s="26">
        <f>calculoF!G55</f>
        <v>0</v>
      </c>
      <c r="I20" s="26">
        <f>calculoF!H55</f>
        <v>0</v>
      </c>
      <c r="J20" s="26">
        <f>calculoF!I55</f>
        <v>0</v>
      </c>
      <c r="K20" s="26">
        <f>calculoF!J55</f>
        <v>0</v>
      </c>
      <c r="L20" s="26">
        <f>calculoF!K55</f>
        <v>0</v>
      </c>
      <c r="M20" s="26">
        <f>calculoF!L55</f>
        <v>0</v>
      </c>
      <c r="N20" s="26">
        <f>L20-M20</f>
        <v>0</v>
      </c>
      <c r="O20" s="26">
        <f>calculoF!M55</f>
        <v>0</v>
      </c>
      <c r="P20" s="54"/>
      <c r="Q20" s="54"/>
      <c r="R20" s="55"/>
      <c r="S20" s="54"/>
    </row>
    <row r="21" spans="1:20" x14ac:dyDescent="0.2">
      <c r="N21" s="56"/>
      <c r="O21" s="56"/>
      <c r="P21" s="56"/>
      <c r="Q21" s="56"/>
      <c r="R21" s="57"/>
      <c r="S21" s="56"/>
    </row>
    <row r="22" spans="1:20" ht="11.25" customHeight="1" x14ac:dyDescent="0.2">
      <c r="N22" s="56"/>
      <c r="O22" s="56"/>
      <c r="P22" s="56"/>
      <c r="Q22" s="56"/>
      <c r="R22" s="57"/>
      <c r="S22" s="56"/>
    </row>
    <row r="23" spans="1:20" ht="9" customHeight="1" x14ac:dyDescent="0.2">
      <c r="N23" s="56"/>
      <c r="O23" s="56"/>
      <c r="P23" s="56"/>
      <c r="R23" s="58"/>
      <c r="S23" s="56"/>
    </row>
    <row r="24" spans="1:20" ht="13.5" x14ac:dyDescent="0.25">
      <c r="B24" s="59"/>
      <c r="C24" s="60"/>
      <c r="N24" s="61"/>
      <c r="O24" s="61"/>
      <c r="P24" s="62" t="s">
        <v>48</v>
      </c>
      <c r="Q24" s="63">
        <f ca="1">TODAY()</f>
        <v>42230</v>
      </c>
      <c r="R24" s="64">
        <f ca="1">NOW()</f>
        <v>42230.789250000002</v>
      </c>
      <c r="S24" s="65"/>
    </row>
    <row r="25" spans="1:20" hidden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/>
      <c r="O25" s="67"/>
      <c r="P25" s="67"/>
      <c r="Q25" s="68">
        <f ca="1">HOUR(R24)</f>
        <v>18</v>
      </c>
      <c r="R25" s="68">
        <f ca="1">MINUTE(R24)</f>
        <v>56</v>
      </c>
      <c r="S25" s="69"/>
      <c r="T25" s="66"/>
    </row>
    <row r="26" spans="1:20" hidden="1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7"/>
      <c r="O26" s="67"/>
      <c r="P26" s="66"/>
      <c r="Q26" s="68"/>
      <c r="R26" s="70">
        <f ca="1">TIME(Q25,R25,0)</f>
        <v>0.78888888888888886</v>
      </c>
      <c r="S26" s="69"/>
      <c r="T26" s="66"/>
    </row>
    <row r="27" spans="1:20" x14ac:dyDescent="0.2">
      <c r="N27" s="56"/>
      <c r="O27" s="56"/>
      <c r="P27" s="56"/>
      <c r="Q27" s="65"/>
      <c r="R27" s="65"/>
      <c r="S27" s="65"/>
    </row>
    <row r="28" spans="1:20" x14ac:dyDescent="0.2">
      <c r="N28" s="56"/>
      <c r="O28" s="56"/>
      <c r="P28" s="56"/>
      <c r="Q28" s="196" t="s">
        <v>18</v>
      </c>
      <c r="R28" s="196" t="s">
        <v>19</v>
      </c>
      <c r="S28" s="65"/>
    </row>
    <row r="29" spans="1:20" x14ac:dyDescent="0.2">
      <c r="N29" s="56"/>
      <c r="O29" s="56"/>
      <c r="P29" s="56"/>
      <c r="Q29" s="65"/>
      <c r="R29" s="65"/>
      <c r="S29" s="65"/>
    </row>
  </sheetData>
  <sheetProtection sheet="1" objects="1" scenarios="1"/>
  <mergeCells count="30">
    <mergeCell ref="Q11:R11"/>
    <mergeCell ref="Q13:R13"/>
    <mergeCell ref="G15:O15"/>
    <mergeCell ref="Q28:R28"/>
    <mergeCell ref="H10:I10"/>
    <mergeCell ref="J10:K10"/>
    <mergeCell ref="L10:M10"/>
    <mergeCell ref="H11:I11"/>
    <mergeCell ref="J11:K11"/>
    <mergeCell ref="L11:M11"/>
    <mergeCell ref="Q7:R7"/>
    <mergeCell ref="H8:I8"/>
    <mergeCell ref="J8:K8"/>
    <mergeCell ref="L8:M8"/>
    <mergeCell ref="H9:I9"/>
    <mergeCell ref="J9:K9"/>
    <mergeCell ref="L9:M9"/>
    <mergeCell ref="Q9:R9"/>
    <mergeCell ref="H6:I6"/>
    <mergeCell ref="J6:K6"/>
    <mergeCell ref="L6:M6"/>
    <mergeCell ref="H7:I7"/>
    <mergeCell ref="J7:K7"/>
    <mergeCell ref="L7:M7"/>
    <mergeCell ref="A1:S2"/>
    <mergeCell ref="B4:M4"/>
    <mergeCell ref="P4:S5"/>
    <mergeCell ref="H5:I5"/>
    <mergeCell ref="J5:K5"/>
    <mergeCell ref="L5:M5"/>
  </mergeCells>
  <conditionalFormatting sqref="B6:M6 J10:K11">
    <cfRule type="expression" dxfId="56" priority="1" stopIfTrue="1">
      <formula>IF(OR($L$6="en juego",$L$6="hoy!"),1,0)</formula>
    </cfRule>
  </conditionalFormatting>
  <conditionalFormatting sqref="B7:I7 J7:K8 L7:M7">
    <cfRule type="expression" dxfId="55" priority="2" stopIfTrue="1">
      <formula>IF(OR($L$7="en juego",$L$7="hoy!"),1,0)</formula>
    </cfRule>
  </conditionalFormatting>
  <conditionalFormatting sqref="B8:G8 H8:I9 L8:M8">
    <cfRule type="expression" dxfId="54" priority="3" stopIfTrue="1">
      <formula>IF(OR($L$8="en juego",$L$8="hoy!"),1,0)</formula>
    </cfRule>
  </conditionalFormatting>
  <conditionalFormatting sqref="B9:G9 J9:M9">
    <cfRule type="expression" dxfId="53" priority="4" stopIfTrue="1">
      <formula>IF(OR($L$9="en juego",$L$9="hoy!"),1,0)</formula>
    </cfRule>
  </conditionalFormatting>
  <conditionalFormatting sqref="B10:G10 H10:I11 L10:M10">
    <cfRule type="expression" dxfId="52" priority="5" stopIfTrue="1">
      <formula>IF(OR($L$10="en juego",$L$10="hoy!"),1,0)</formula>
    </cfRule>
  </conditionalFormatting>
  <conditionalFormatting sqref="B11:G11 L11:M11">
    <cfRule type="expression" dxfId="51" priority="6" stopIfTrue="1">
      <formula>IF(OR($L$11="en juego",$L$11="hoy!"),1,0)</formula>
    </cfRule>
  </conditionalFormatting>
  <conditionalFormatting sqref="F17:F18">
    <cfRule type="expression" dxfId="50" priority="7" stopIfTrue="1">
      <formula>IF(AND($H$17=3,$H$18=3,$H$19=3,$H$20=3),1,0)</formula>
    </cfRule>
  </conditionalFormatting>
  <conditionalFormatting sqref="G17:O18">
    <cfRule type="expression" dxfId="49" priority="8" stopIfTrue="1">
      <formula>IF(AND($H$17=3,$H$18=3,$H$19=3,$H$20=3),1,0)</formula>
    </cfRule>
  </conditionalFormatting>
  <dataValidations count="1">
    <dataValidation type="whole" allowBlank="1" showErrorMessage="1" errorTitle="Dato no válido" error="Ingrese sólo un número entero_x000a_entre 0 y 99." sqref="C6:C11 E6:E11">
      <formula1>0</formula1>
      <formula2>99</formula2>
    </dataValidation>
  </dataValidations>
  <hyperlinks>
    <hyperlink ref="Q28" location="Portada!A1" display="Menu Principal"/>
    <hyperlink ref="R28" location="Portada!A1" display="#Portada.A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showGridLines="0" showRowColHeaders="0" showOutlineSymbols="0" workbookViewId="0">
      <selection sqref="A1:S2"/>
    </sheetView>
  </sheetViews>
  <sheetFormatPr baseColWidth="10" defaultRowHeight="12.75" x14ac:dyDescent="0.2"/>
  <cols>
    <col min="1" max="1" width="2.7109375" style="13" customWidth="1"/>
    <col min="2" max="2" width="14.28515625" style="13" customWidth="1"/>
    <col min="3" max="3" width="3.28515625" style="13" customWidth="1"/>
    <col min="4" max="4" width="1.7109375" style="13" customWidth="1"/>
    <col min="5" max="5" width="3.42578125" style="13" customWidth="1"/>
    <col min="6" max="6" width="14.28515625" style="13" customWidth="1"/>
    <col min="7" max="7" width="14.7109375" style="13" customWidth="1"/>
    <col min="8" max="12" width="3.7109375" style="13" customWidth="1"/>
    <col min="13" max="14" width="3.85546875" style="13" customWidth="1"/>
    <col min="15" max="15" width="4.7109375" style="13" customWidth="1"/>
    <col min="16" max="16" width="5.7109375" style="13" customWidth="1"/>
    <col min="17" max="18" width="7.7109375" style="13" customWidth="1"/>
    <col min="19" max="19" width="5.7109375" style="13" customWidth="1"/>
    <col min="20" max="20" width="7.7109375" style="13" customWidth="1"/>
    <col min="21" max="16384" width="11.42578125" style="13"/>
  </cols>
  <sheetData>
    <row r="1" spans="1:20" s="15" customFormat="1" ht="35.1" customHeight="1" x14ac:dyDescent="0.2">
      <c r="A1" s="187" t="s">
        <v>20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4"/>
    </row>
    <row r="2" spans="1:20" s="15" customFormat="1" ht="35.1" customHeigh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6"/>
    </row>
    <row r="3" spans="1:20" ht="21" customHeight="1" x14ac:dyDescent="0.2">
      <c r="G3" s="17"/>
      <c r="L3" s="18"/>
      <c r="M3" s="19"/>
      <c r="R3" s="17"/>
    </row>
    <row r="4" spans="1:20" ht="12.75" customHeight="1" x14ac:dyDescent="0.2">
      <c r="B4" s="188" t="s">
        <v>21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P4" s="197" t="s">
        <v>82</v>
      </c>
      <c r="Q4" s="197"/>
      <c r="R4" s="197"/>
      <c r="S4" s="197"/>
    </row>
    <row r="5" spans="1:20" ht="12.75" customHeight="1" x14ac:dyDescent="0.2">
      <c r="B5" s="20"/>
      <c r="C5" s="20"/>
      <c r="D5" s="20"/>
      <c r="E5" s="20"/>
      <c r="F5" s="20"/>
      <c r="G5" s="21" t="s">
        <v>23</v>
      </c>
      <c r="H5" s="190" t="s">
        <v>24</v>
      </c>
      <c r="I5" s="190"/>
      <c r="J5" s="191" t="s">
        <v>25</v>
      </c>
      <c r="K5" s="191"/>
      <c r="L5" s="191" t="s">
        <v>26</v>
      </c>
      <c r="M5" s="191"/>
      <c r="P5" s="197"/>
      <c r="Q5" s="197"/>
      <c r="R5" s="197"/>
      <c r="S5" s="197"/>
    </row>
    <row r="6" spans="1:20" ht="14.25" customHeight="1" x14ac:dyDescent="0.2">
      <c r="A6" s="22" t="str">
        <f t="shared" ref="A6:A11" ca="1" si="0">IF(OR(L6="finalizado",L6="en juego",L6="hoy!"),"Ø","")</f>
        <v/>
      </c>
      <c r="B6" s="23" t="str">
        <f>Q7</f>
        <v>Francia</v>
      </c>
      <c r="C6" s="24"/>
      <c r="D6" s="25" t="s">
        <v>27</v>
      </c>
      <c r="E6" s="24"/>
      <c r="F6" s="26" t="str">
        <f>Q9</f>
        <v>Suiza</v>
      </c>
      <c r="G6" s="27" t="s">
        <v>62</v>
      </c>
      <c r="H6" s="192">
        <v>38881</v>
      </c>
      <c r="I6" s="192"/>
      <c r="J6" s="193">
        <v>0.54166666666666663</v>
      </c>
      <c r="K6" s="193"/>
      <c r="L6" s="194" t="str">
        <f t="shared" ref="L6:L11" ca="1" si="1">IF(OR(H6="",J6="",H6&lt;$Q$24),"",IF(H6=$Q$24,IF(AND(J6&lt;=$R$26,$R$26&lt;=(J6+0.08333333333)),"en juego",IF($R$26&lt;J6,"hoy!","finalizado")),IF($Q$24&gt;H6,"finalizado","")))</f>
        <v/>
      </c>
      <c r="M6" s="194"/>
      <c r="R6" s="17"/>
    </row>
    <row r="7" spans="1:20" ht="14.25" customHeight="1" x14ac:dyDescent="0.35">
      <c r="A7" s="22" t="str">
        <f t="shared" ca="1" si="0"/>
        <v/>
      </c>
      <c r="B7" s="23" t="str">
        <f>Q11</f>
        <v>Corea del Sur</v>
      </c>
      <c r="C7" s="24"/>
      <c r="D7" s="25" t="s">
        <v>27</v>
      </c>
      <c r="E7" s="24"/>
      <c r="F7" s="26" t="str">
        <f>Q13</f>
        <v>Togo</v>
      </c>
      <c r="G7" s="27" t="s">
        <v>50</v>
      </c>
      <c r="H7" s="192">
        <v>38881</v>
      </c>
      <c r="I7" s="192"/>
      <c r="J7" s="193">
        <v>0.66666666666666663</v>
      </c>
      <c r="K7" s="193"/>
      <c r="L7" s="194" t="str">
        <f t="shared" ca="1" si="1"/>
        <v/>
      </c>
      <c r="M7" s="194"/>
      <c r="N7" s="28"/>
      <c r="O7" s="29"/>
      <c r="P7" s="30"/>
      <c r="Q7" s="195" t="s">
        <v>83</v>
      </c>
      <c r="R7" s="195"/>
      <c r="S7" s="30"/>
    </row>
    <row r="8" spans="1:20" ht="14.25" customHeight="1" x14ac:dyDescent="0.4">
      <c r="A8" s="22" t="str">
        <f t="shared" ca="1" si="0"/>
        <v/>
      </c>
      <c r="B8" s="23" t="str">
        <f>Q7</f>
        <v>Francia</v>
      </c>
      <c r="C8" s="24"/>
      <c r="D8" s="25" t="s">
        <v>27</v>
      </c>
      <c r="E8" s="24"/>
      <c r="F8" s="26" t="str">
        <f>Q11</f>
        <v>Corea del Sur</v>
      </c>
      <c r="G8" s="27" t="s">
        <v>60</v>
      </c>
      <c r="H8" s="192">
        <v>38886</v>
      </c>
      <c r="I8" s="192"/>
      <c r="J8" s="193">
        <v>0.66666666666666663</v>
      </c>
      <c r="K8" s="193"/>
      <c r="L8" s="194" t="str">
        <f t="shared" ca="1" si="1"/>
        <v/>
      </c>
      <c r="M8" s="194"/>
      <c r="N8" s="31"/>
      <c r="O8" s="32"/>
      <c r="P8" s="33"/>
      <c r="Q8" s="34"/>
      <c r="R8" s="35"/>
      <c r="S8" s="33"/>
    </row>
    <row r="9" spans="1:20" ht="14.25" customHeight="1" x14ac:dyDescent="0.2">
      <c r="A9" s="22" t="str">
        <f t="shared" ca="1" si="0"/>
        <v/>
      </c>
      <c r="B9" s="23" t="str">
        <f>Q13</f>
        <v>Togo</v>
      </c>
      <c r="C9" s="24"/>
      <c r="D9" s="25" t="s">
        <v>27</v>
      </c>
      <c r="E9" s="24"/>
      <c r="F9" s="26" t="str">
        <f>Q9</f>
        <v>Suiza</v>
      </c>
      <c r="G9" s="27" t="s">
        <v>31</v>
      </c>
      <c r="H9" s="192">
        <v>38887</v>
      </c>
      <c r="I9" s="192"/>
      <c r="J9" s="193">
        <v>0.41666666666666669</v>
      </c>
      <c r="K9" s="193"/>
      <c r="L9" s="194" t="str">
        <f t="shared" ca="1" si="1"/>
        <v/>
      </c>
      <c r="M9" s="194"/>
      <c r="P9" s="30"/>
      <c r="Q9" s="195" t="s">
        <v>84</v>
      </c>
      <c r="R9" s="195"/>
      <c r="S9" s="30"/>
    </row>
    <row r="10" spans="1:20" ht="14.25" customHeight="1" x14ac:dyDescent="0.2">
      <c r="A10" s="22" t="str">
        <f t="shared" ca="1" si="0"/>
        <v/>
      </c>
      <c r="B10" s="23" t="str">
        <f>Q13</f>
        <v>Togo</v>
      </c>
      <c r="C10" s="24"/>
      <c r="D10" s="25" t="s">
        <v>27</v>
      </c>
      <c r="E10" s="24"/>
      <c r="F10" s="26" t="str">
        <f>Q7</f>
        <v>Francia</v>
      </c>
      <c r="G10" s="27" t="s">
        <v>54</v>
      </c>
      <c r="H10" s="192">
        <v>38891</v>
      </c>
      <c r="I10" s="192"/>
      <c r="J10" s="193">
        <v>0.45833333333333331</v>
      </c>
      <c r="K10" s="193"/>
      <c r="L10" s="194" t="str">
        <f t="shared" ca="1" si="1"/>
        <v/>
      </c>
      <c r="M10" s="194"/>
      <c r="P10" s="33"/>
      <c r="Q10" s="34"/>
      <c r="R10" s="35"/>
      <c r="S10" s="33"/>
    </row>
    <row r="11" spans="1:20" ht="14.25" customHeight="1" x14ac:dyDescent="0.2">
      <c r="A11" s="22" t="str">
        <f t="shared" ca="1" si="0"/>
        <v/>
      </c>
      <c r="B11" s="23" t="str">
        <f>Q9</f>
        <v>Suiza</v>
      </c>
      <c r="C11" s="24"/>
      <c r="D11" s="25" t="s">
        <v>27</v>
      </c>
      <c r="E11" s="24"/>
      <c r="F11" s="26" t="str">
        <f>Q11</f>
        <v>Corea del Sur</v>
      </c>
      <c r="G11" s="27" t="s">
        <v>35</v>
      </c>
      <c r="H11" s="192">
        <v>38891</v>
      </c>
      <c r="I11" s="192"/>
      <c r="J11" s="193">
        <v>0.45833333333333331</v>
      </c>
      <c r="K11" s="193"/>
      <c r="L11" s="194" t="str">
        <f t="shared" ca="1" si="1"/>
        <v/>
      </c>
      <c r="M11" s="194"/>
      <c r="P11" s="30"/>
      <c r="Q11" s="195" t="s">
        <v>85</v>
      </c>
      <c r="R11" s="195"/>
      <c r="S11" s="30"/>
    </row>
    <row r="12" spans="1:20" ht="13.5" customHeight="1" x14ac:dyDescent="0.2">
      <c r="B12" s="36"/>
      <c r="C12" s="37"/>
      <c r="D12" s="38"/>
      <c r="E12" s="37"/>
      <c r="F12" s="20"/>
      <c r="G12" s="39"/>
      <c r="H12" s="38"/>
      <c r="I12" s="40"/>
      <c r="J12" s="18"/>
      <c r="K12" s="41"/>
      <c r="L12" s="42"/>
      <c r="M12" s="42"/>
      <c r="P12" s="33"/>
      <c r="Q12" s="34"/>
      <c r="R12" s="35"/>
      <c r="S12" s="33"/>
    </row>
    <row r="13" spans="1:20" ht="13.5" customHeight="1" x14ac:dyDescent="0.2">
      <c r="B13" s="36"/>
      <c r="C13" s="37"/>
      <c r="D13" s="38"/>
      <c r="E13" s="37"/>
      <c r="F13" s="20"/>
      <c r="G13" s="39"/>
      <c r="H13" s="38"/>
      <c r="I13" s="38"/>
      <c r="J13" s="18"/>
      <c r="K13" s="43"/>
      <c r="L13" s="42"/>
      <c r="M13" s="42"/>
      <c r="P13" s="30"/>
      <c r="Q13" s="195" t="s">
        <v>86</v>
      </c>
      <c r="R13" s="195"/>
      <c r="S13" s="30"/>
    </row>
    <row r="14" spans="1:20" ht="13.5" customHeight="1" x14ac:dyDescent="0.2">
      <c r="B14" s="36"/>
      <c r="C14" s="37"/>
      <c r="D14" s="38"/>
      <c r="E14" s="37"/>
      <c r="F14" s="20"/>
      <c r="G14" s="39"/>
      <c r="H14" s="38"/>
      <c r="I14" s="38"/>
      <c r="J14" s="18"/>
      <c r="K14" s="43"/>
      <c r="L14" s="42"/>
      <c r="M14" s="42"/>
      <c r="Q14" s="45"/>
      <c r="R14" s="71"/>
    </row>
    <row r="15" spans="1:20" x14ac:dyDescent="0.2">
      <c r="G15" s="188" t="s">
        <v>38</v>
      </c>
      <c r="H15" s="188"/>
      <c r="I15" s="188"/>
      <c r="J15" s="188"/>
      <c r="K15" s="188"/>
      <c r="L15" s="188"/>
      <c r="M15" s="188"/>
      <c r="N15" s="188"/>
      <c r="O15" s="188"/>
      <c r="R15" s="17"/>
    </row>
    <row r="16" spans="1:20" x14ac:dyDescent="0.2">
      <c r="G16" s="47"/>
      <c r="H16" s="48" t="s">
        <v>39</v>
      </c>
      <c r="I16" s="48" t="s">
        <v>40</v>
      </c>
      <c r="J16" s="48" t="s">
        <v>41</v>
      </c>
      <c r="K16" s="48" t="s">
        <v>42</v>
      </c>
      <c r="L16" s="48" t="s">
        <v>43</v>
      </c>
      <c r="M16" s="48" t="s">
        <v>44</v>
      </c>
      <c r="N16" s="48" t="s">
        <v>45</v>
      </c>
      <c r="O16" s="48" t="s">
        <v>46</v>
      </c>
      <c r="R16" s="17"/>
    </row>
    <row r="17" spans="1:20" x14ac:dyDescent="0.2">
      <c r="F17" s="49" t="s">
        <v>58</v>
      </c>
      <c r="G17" s="50" t="str">
        <f>calculoG!F52</f>
        <v>Francia</v>
      </c>
      <c r="H17" s="26">
        <f>calculoG!G52</f>
        <v>0</v>
      </c>
      <c r="I17" s="26">
        <f>calculoG!H52</f>
        <v>0</v>
      </c>
      <c r="J17" s="26">
        <f>calculoG!I52</f>
        <v>0</v>
      </c>
      <c r="K17" s="26">
        <f>calculoG!J52</f>
        <v>0</v>
      </c>
      <c r="L17" s="26">
        <f>calculoG!K52</f>
        <v>0</v>
      </c>
      <c r="M17" s="26">
        <f>calculoG!L52</f>
        <v>0</v>
      </c>
      <c r="N17" s="26">
        <f>L17-M17</f>
        <v>0</v>
      </c>
      <c r="O17" s="26">
        <f>calculoG!M52</f>
        <v>0</v>
      </c>
      <c r="P17" s="51"/>
      <c r="Q17" s="52"/>
      <c r="R17" s="53"/>
      <c r="S17" s="52"/>
    </row>
    <row r="18" spans="1:20" x14ac:dyDescent="0.2">
      <c r="F18" s="49" t="s">
        <v>58</v>
      </c>
      <c r="G18" s="50" t="str">
        <f>calculoG!F53</f>
        <v>Suiza</v>
      </c>
      <c r="H18" s="26">
        <f>calculoG!G53</f>
        <v>0</v>
      </c>
      <c r="I18" s="26">
        <f>calculoG!H53</f>
        <v>0</v>
      </c>
      <c r="J18" s="26">
        <f>calculoG!I53</f>
        <v>0</v>
      </c>
      <c r="K18" s="26">
        <f>calculoG!J53</f>
        <v>0</v>
      </c>
      <c r="L18" s="26">
        <f>calculoG!K53</f>
        <v>0</v>
      </c>
      <c r="M18" s="26">
        <f>calculoG!L53</f>
        <v>0</v>
      </c>
      <c r="N18" s="26">
        <f>L18-M18</f>
        <v>0</v>
      </c>
      <c r="O18" s="26">
        <f>calculoG!M53</f>
        <v>0</v>
      </c>
      <c r="P18" s="51"/>
      <c r="Q18" s="52"/>
      <c r="R18" s="53"/>
      <c r="S18" s="52"/>
    </row>
    <row r="19" spans="1:20" x14ac:dyDescent="0.2">
      <c r="F19" s="52"/>
      <c r="G19" s="50" t="str">
        <f>calculoG!F54</f>
        <v>Corea del Sur</v>
      </c>
      <c r="H19" s="26">
        <f>calculoG!G54</f>
        <v>0</v>
      </c>
      <c r="I19" s="26">
        <f>calculoG!H54</f>
        <v>0</v>
      </c>
      <c r="J19" s="26">
        <f>calculoG!I54</f>
        <v>0</v>
      </c>
      <c r="K19" s="26">
        <f>calculoG!J54</f>
        <v>0</v>
      </c>
      <c r="L19" s="26">
        <f>calculoG!K54</f>
        <v>0</v>
      </c>
      <c r="M19" s="26">
        <f>calculoG!L54</f>
        <v>0</v>
      </c>
      <c r="N19" s="26">
        <f>L19-M19</f>
        <v>0</v>
      </c>
      <c r="O19" s="26">
        <f>calculoG!M54</f>
        <v>0</v>
      </c>
      <c r="P19" s="54"/>
      <c r="Q19" s="52"/>
      <c r="R19" s="53"/>
      <c r="S19" s="52"/>
    </row>
    <row r="20" spans="1:20" x14ac:dyDescent="0.2">
      <c r="F20" s="52"/>
      <c r="G20" s="50" t="str">
        <f>calculoG!F55</f>
        <v>Togo</v>
      </c>
      <c r="H20" s="26">
        <f>calculoG!G55</f>
        <v>0</v>
      </c>
      <c r="I20" s="26">
        <f>calculoG!H55</f>
        <v>0</v>
      </c>
      <c r="J20" s="26">
        <f>calculoG!I55</f>
        <v>0</v>
      </c>
      <c r="K20" s="26">
        <f>calculoG!J55</f>
        <v>0</v>
      </c>
      <c r="L20" s="26">
        <f>calculoG!K55</f>
        <v>0</v>
      </c>
      <c r="M20" s="26">
        <f>calculoG!L55</f>
        <v>0</v>
      </c>
      <c r="N20" s="26">
        <f>L20-M20</f>
        <v>0</v>
      </c>
      <c r="O20" s="26">
        <f>calculoG!M55</f>
        <v>0</v>
      </c>
      <c r="P20" s="54"/>
      <c r="Q20" s="54"/>
      <c r="R20" s="55"/>
      <c r="S20" s="54"/>
    </row>
    <row r="21" spans="1:20" x14ac:dyDescent="0.2">
      <c r="N21" s="56"/>
      <c r="O21" s="56"/>
      <c r="P21" s="56"/>
      <c r="Q21" s="56"/>
      <c r="R21" s="57"/>
      <c r="S21" s="56"/>
    </row>
    <row r="22" spans="1:20" ht="11.25" customHeight="1" x14ac:dyDescent="0.2">
      <c r="N22" s="56"/>
      <c r="O22" s="56"/>
      <c r="P22" s="56"/>
      <c r="Q22" s="56"/>
      <c r="R22" s="57"/>
      <c r="S22" s="56"/>
    </row>
    <row r="23" spans="1:20" ht="9" customHeight="1" x14ac:dyDescent="0.2">
      <c r="N23" s="56"/>
      <c r="O23" s="56"/>
      <c r="P23" s="56"/>
      <c r="R23" s="58"/>
      <c r="S23" s="56"/>
    </row>
    <row r="24" spans="1:20" ht="13.5" x14ac:dyDescent="0.25">
      <c r="B24" s="59"/>
      <c r="C24" s="60"/>
      <c r="N24" s="61"/>
      <c r="O24" s="61"/>
      <c r="P24" s="62" t="s">
        <v>48</v>
      </c>
      <c r="Q24" s="63">
        <f ca="1">TODAY()</f>
        <v>42230</v>
      </c>
      <c r="R24" s="64">
        <f ca="1">NOW()</f>
        <v>42230.789250000002</v>
      </c>
      <c r="S24" s="65"/>
    </row>
    <row r="25" spans="1:20" hidden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/>
      <c r="O25" s="67"/>
      <c r="P25" s="67"/>
      <c r="Q25" s="68">
        <f ca="1">HOUR(R24)</f>
        <v>18</v>
      </c>
      <c r="R25" s="68">
        <f ca="1">MINUTE(R24)</f>
        <v>56</v>
      </c>
      <c r="S25" s="69"/>
      <c r="T25" s="66"/>
    </row>
    <row r="26" spans="1:20" hidden="1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7"/>
      <c r="O26" s="67"/>
      <c r="P26" s="66"/>
      <c r="Q26" s="68"/>
      <c r="R26" s="70">
        <f ca="1">TIME(Q25,R25,0)</f>
        <v>0.78888888888888886</v>
      </c>
      <c r="S26" s="69"/>
      <c r="T26" s="66"/>
    </row>
    <row r="27" spans="1:20" x14ac:dyDescent="0.2">
      <c r="N27" s="56"/>
      <c r="O27" s="56"/>
      <c r="P27" s="56"/>
      <c r="Q27" s="65"/>
      <c r="R27" s="65"/>
      <c r="S27" s="65"/>
    </row>
    <row r="28" spans="1:20" x14ac:dyDescent="0.2">
      <c r="N28" s="56"/>
      <c r="O28" s="56"/>
      <c r="P28" s="56"/>
      <c r="Q28" s="196" t="s">
        <v>18</v>
      </c>
      <c r="R28" s="196" t="s">
        <v>19</v>
      </c>
      <c r="S28" s="65"/>
    </row>
    <row r="29" spans="1:20" x14ac:dyDescent="0.2">
      <c r="N29" s="56"/>
      <c r="O29" s="56"/>
      <c r="P29" s="56"/>
      <c r="Q29" s="65"/>
      <c r="R29" s="65"/>
      <c r="S29" s="65"/>
    </row>
  </sheetData>
  <sheetProtection sheet="1" objects="1" scenarios="1"/>
  <mergeCells count="30">
    <mergeCell ref="Q11:R11"/>
    <mergeCell ref="Q13:R13"/>
    <mergeCell ref="G15:O15"/>
    <mergeCell ref="Q28:R28"/>
    <mergeCell ref="H10:I10"/>
    <mergeCell ref="J10:K10"/>
    <mergeCell ref="L10:M10"/>
    <mergeCell ref="H11:I11"/>
    <mergeCell ref="J11:K11"/>
    <mergeCell ref="L11:M11"/>
    <mergeCell ref="Q7:R7"/>
    <mergeCell ref="H8:I8"/>
    <mergeCell ref="J8:K8"/>
    <mergeCell ref="L8:M8"/>
    <mergeCell ref="H9:I9"/>
    <mergeCell ref="J9:K9"/>
    <mergeCell ref="L9:M9"/>
    <mergeCell ref="Q9:R9"/>
    <mergeCell ref="H6:I6"/>
    <mergeCell ref="J6:K6"/>
    <mergeCell ref="L6:M6"/>
    <mergeCell ref="H7:I7"/>
    <mergeCell ref="J7:K7"/>
    <mergeCell ref="L7:M7"/>
    <mergeCell ref="A1:S2"/>
    <mergeCell ref="B4:M4"/>
    <mergeCell ref="P4:S5"/>
    <mergeCell ref="H5:I5"/>
    <mergeCell ref="J5:K5"/>
    <mergeCell ref="L5:M5"/>
  </mergeCells>
  <conditionalFormatting sqref="B6:G6 H6:I7 J6:M6">
    <cfRule type="expression" dxfId="48" priority="1" stopIfTrue="1">
      <formula>IF(OR($L$6="en juego",$L$6="hoy!"),1,0)</formula>
    </cfRule>
  </conditionalFormatting>
  <conditionalFormatting sqref="B7:G7 J7:K8 L7:M7">
    <cfRule type="expression" dxfId="47" priority="2" stopIfTrue="1">
      <formula>IF(OR($L$7="en juego",$L$7="hoy!"),1,0)</formula>
    </cfRule>
  </conditionalFormatting>
  <conditionalFormatting sqref="B8:I8 L8:M8">
    <cfRule type="expression" dxfId="46" priority="3" stopIfTrue="1">
      <formula>IF(OR($L$8="en juego",$L$8="hoy!"),1,0)</formula>
    </cfRule>
  </conditionalFormatting>
  <conditionalFormatting sqref="B9:M9">
    <cfRule type="expression" dxfId="45" priority="4" stopIfTrue="1">
      <formula>IF(OR($L$9="en juego",$L$9="hoy!"),1,0)</formula>
    </cfRule>
  </conditionalFormatting>
  <conditionalFormatting sqref="B10:G10 H10:K11 L10:M10">
    <cfRule type="expression" dxfId="44" priority="5" stopIfTrue="1">
      <formula>IF(OR($L$10="en juego",$L$10="hoy!"),1,0)</formula>
    </cfRule>
  </conditionalFormatting>
  <conditionalFormatting sqref="B11:G11 L11:M11">
    <cfRule type="expression" dxfId="43" priority="6" stopIfTrue="1">
      <formula>IF(OR($L$11="en juego",$L$11="hoy!"),1,0)</formula>
    </cfRule>
  </conditionalFormatting>
  <conditionalFormatting sqref="F17:F18">
    <cfRule type="expression" dxfId="42" priority="7" stopIfTrue="1">
      <formula>IF(AND($H$17=3,$H$18=3,$H$19=3,$H$20=3),1,0)</formula>
    </cfRule>
  </conditionalFormatting>
  <conditionalFormatting sqref="G17:O18">
    <cfRule type="expression" dxfId="41" priority="8" stopIfTrue="1">
      <formula>IF(AND($H$17=3,$H$18=3,$H$19=3,$H$20=3),1,0)</formula>
    </cfRule>
  </conditionalFormatting>
  <dataValidations count="1">
    <dataValidation type="whole" allowBlank="1" showErrorMessage="1" errorTitle="Dato no válido" error="Ingrese sólo un número entero_x000a_entre 0 y 99." sqref="C6:C11 E6:E11">
      <formula1>0</formula1>
      <formula2>99</formula2>
    </dataValidation>
  </dataValidations>
  <hyperlinks>
    <hyperlink ref="Q28" location="Portada!A1" display="Menu Principal"/>
    <hyperlink ref="R28" location="Portada!A1" display="#Portada.A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showGridLines="0" showRowColHeaders="0" showOutlineSymbols="0" workbookViewId="0"/>
  </sheetViews>
  <sheetFormatPr baseColWidth="10" defaultRowHeight="12.75" x14ac:dyDescent="0.2"/>
  <cols>
    <col min="1" max="1" width="2.7109375" style="13" customWidth="1"/>
    <col min="2" max="2" width="14.28515625" style="13" customWidth="1"/>
    <col min="3" max="3" width="3.28515625" style="13" customWidth="1"/>
    <col min="4" max="4" width="1.7109375" style="13" customWidth="1"/>
    <col min="5" max="5" width="3.42578125" style="13" customWidth="1"/>
    <col min="6" max="6" width="14.28515625" style="13" customWidth="1"/>
    <col min="7" max="7" width="14.7109375" style="13" customWidth="1"/>
    <col min="8" max="13" width="3.7109375" style="13" customWidth="1"/>
    <col min="14" max="14" width="3.85546875" style="13" customWidth="1"/>
    <col min="15" max="15" width="4.7109375" style="13" customWidth="1"/>
    <col min="16" max="16" width="5.7109375" style="13" customWidth="1"/>
    <col min="17" max="18" width="7.7109375" style="13" customWidth="1"/>
    <col min="19" max="19" width="5.7109375" style="13" customWidth="1"/>
    <col min="20" max="20" width="7.7109375" style="13" customWidth="1"/>
    <col min="21" max="16384" width="11.42578125" style="13"/>
  </cols>
  <sheetData>
    <row r="1" spans="1:20" s="15" customFormat="1" ht="35.1" customHeight="1" x14ac:dyDescent="0.2">
      <c r="A1" s="187" t="s">
        <v>20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4"/>
    </row>
    <row r="2" spans="1:20" s="15" customFormat="1" ht="35.1" customHeight="1" x14ac:dyDescent="0.2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4"/>
    </row>
    <row r="3" spans="1:20" ht="21" customHeight="1" x14ac:dyDescent="0.2">
      <c r="G3" s="17"/>
      <c r="L3" s="18"/>
      <c r="M3" s="19"/>
      <c r="R3" s="17"/>
    </row>
    <row r="4" spans="1:20" ht="12.75" customHeight="1" x14ac:dyDescent="0.2">
      <c r="B4" s="188" t="s">
        <v>21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P4" s="197" t="s">
        <v>87</v>
      </c>
      <c r="Q4" s="197"/>
      <c r="R4" s="197"/>
      <c r="S4" s="197"/>
    </row>
    <row r="5" spans="1:20" ht="12.75" customHeight="1" x14ac:dyDescent="0.2">
      <c r="B5" s="20"/>
      <c r="C5" s="20"/>
      <c r="D5" s="20"/>
      <c r="E5" s="20"/>
      <c r="F5" s="20"/>
      <c r="G5" s="21" t="s">
        <v>23</v>
      </c>
      <c r="H5" s="190" t="s">
        <v>24</v>
      </c>
      <c r="I5" s="190"/>
      <c r="J5" s="191" t="s">
        <v>25</v>
      </c>
      <c r="K5" s="191"/>
      <c r="L5" s="191" t="s">
        <v>26</v>
      </c>
      <c r="M5" s="191"/>
      <c r="P5" s="197"/>
      <c r="Q5" s="197"/>
      <c r="R5" s="197"/>
      <c r="S5" s="197"/>
    </row>
    <row r="6" spans="1:20" ht="14.25" customHeight="1" x14ac:dyDescent="0.2">
      <c r="A6" s="22" t="str">
        <f t="shared" ref="A6:A11" ca="1" si="0">IF(OR(L6="finalizado",L6="en juego",L6="hoy!"),"Ø","")</f>
        <v/>
      </c>
      <c r="B6" s="23" t="str">
        <f>Q7</f>
        <v>España</v>
      </c>
      <c r="C6" s="24"/>
      <c r="D6" s="25" t="s">
        <v>27</v>
      </c>
      <c r="E6" s="24"/>
      <c r="F6" s="26" t="str">
        <f>Q9</f>
        <v>Ucrania</v>
      </c>
      <c r="G6" s="27" t="s">
        <v>60</v>
      </c>
      <c r="H6" s="192">
        <v>38882</v>
      </c>
      <c r="I6" s="192"/>
      <c r="J6" s="193">
        <v>0.41666666666666669</v>
      </c>
      <c r="K6" s="193"/>
      <c r="L6" s="194" t="str">
        <f t="shared" ref="L6:L11" ca="1" si="1">IF(OR(H6="",J6="",H6&lt;$Q$24),"",IF(H6=$Q$24,IF(AND(J6&lt;=$R$26,$R$26&lt;=(J6+0.08333333333)),"en juego",IF($R$26&lt;J6,"hoy!","finalizado")),IF($Q$24&gt;H6,"finalizado","")))</f>
        <v/>
      </c>
      <c r="M6" s="194"/>
      <c r="R6" s="17"/>
    </row>
    <row r="7" spans="1:20" ht="14.25" customHeight="1" x14ac:dyDescent="0.35">
      <c r="A7" s="22" t="str">
        <f t="shared" ca="1" si="0"/>
        <v/>
      </c>
      <c r="B7" s="23" t="str">
        <f>Q11</f>
        <v>Tunez</v>
      </c>
      <c r="C7" s="24"/>
      <c r="D7" s="25" t="s">
        <v>27</v>
      </c>
      <c r="E7" s="24"/>
      <c r="F7" s="26" t="str">
        <f>Q13</f>
        <v>Arabia Saudita</v>
      </c>
      <c r="G7" s="27" t="s">
        <v>28</v>
      </c>
      <c r="H7" s="192">
        <v>38882</v>
      </c>
      <c r="I7" s="192"/>
      <c r="J7" s="193">
        <v>0.54166666666666663</v>
      </c>
      <c r="K7" s="193"/>
      <c r="L7" s="194" t="str">
        <f t="shared" ca="1" si="1"/>
        <v/>
      </c>
      <c r="M7" s="194"/>
      <c r="N7" s="28"/>
      <c r="O7" s="29"/>
      <c r="P7" s="30"/>
      <c r="Q7" s="195" t="s">
        <v>88</v>
      </c>
      <c r="R7" s="195"/>
      <c r="S7" s="30"/>
    </row>
    <row r="8" spans="1:20" ht="14.25" customHeight="1" x14ac:dyDescent="0.4">
      <c r="A8" s="22" t="str">
        <f t="shared" ca="1" si="0"/>
        <v/>
      </c>
      <c r="B8" s="23" t="str">
        <f>Q7</f>
        <v>España</v>
      </c>
      <c r="C8" s="24"/>
      <c r="D8" s="25" t="s">
        <v>27</v>
      </c>
      <c r="E8" s="24"/>
      <c r="F8" s="26" t="str">
        <f>Q11</f>
        <v>Tunez</v>
      </c>
      <c r="G8" s="27" t="s">
        <v>62</v>
      </c>
      <c r="H8" s="192">
        <v>38887</v>
      </c>
      <c r="I8" s="192"/>
      <c r="J8" s="193">
        <v>0.54166666666666663</v>
      </c>
      <c r="K8" s="193"/>
      <c r="L8" s="194" t="str">
        <f t="shared" ca="1" si="1"/>
        <v/>
      </c>
      <c r="M8" s="194"/>
      <c r="N8" s="31"/>
      <c r="O8" s="32"/>
      <c r="P8" s="33"/>
      <c r="Q8" s="34"/>
      <c r="R8" s="35"/>
      <c r="S8" s="33"/>
    </row>
    <row r="9" spans="1:20" ht="14.25" customHeight="1" x14ac:dyDescent="0.2">
      <c r="A9" s="22" t="str">
        <f t="shared" ca="1" si="0"/>
        <v/>
      </c>
      <c r="B9" s="23" t="str">
        <f>Q13</f>
        <v>Arabia Saudita</v>
      </c>
      <c r="C9" s="24"/>
      <c r="D9" s="25" t="s">
        <v>27</v>
      </c>
      <c r="E9" s="24"/>
      <c r="F9" s="26" t="str">
        <f>Q9</f>
        <v>Ucrania</v>
      </c>
      <c r="G9" s="27" t="s">
        <v>32</v>
      </c>
      <c r="H9" s="192">
        <v>38887</v>
      </c>
      <c r="I9" s="192"/>
      <c r="J9" s="193">
        <v>0.66666666666666663</v>
      </c>
      <c r="K9" s="193"/>
      <c r="L9" s="194" t="str">
        <f t="shared" ca="1" si="1"/>
        <v/>
      </c>
      <c r="M9" s="194"/>
      <c r="P9" s="30"/>
      <c r="Q9" s="195" t="s">
        <v>89</v>
      </c>
      <c r="R9" s="195"/>
      <c r="S9" s="30"/>
    </row>
    <row r="10" spans="1:20" ht="14.25" customHeight="1" x14ac:dyDescent="0.2">
      <c r="A10" s="22" t="str">
        <f t="shared" ca="1" si="0"/>
        <v/>
      </c>
      <c r="B10" s="23" t="str">
        <f>Q13</f>
        <v>Arabia Saudita</v>
      </c>
      <c r="C10" s="24"/>
      <c r="D10" s="25" t="s">
        <v>27</v>
      </c>
      <c r="E10" s="24"/>
      <c r="F10" s="26" t="str">
        <f>Q7</f>
        <v>España</v>
      </c>
      <c r="G10" s="27" t="s">
        <v>55</v>
      </c>
      <c r="H10" s="192">
        <v>38891</v>
      </c>
      <c r="I10" s="192"/>
      <c r="J10" s="193">
        <v>0.66666666666666663</v>
      </c>
      <c r="K10" s="193"/>
      <c r="L10" s="194" t="str">
        <f t="shared" ca="1" si="1"/>
        <v/>
      </c>
      <c r="M10" s="194"/>
      <c r="P10" s="33"/>
      <c r="Q10" s="34"/>
      <c r="R10" s="35"/>
      <c r="S10" s="33"/>
    </row>
    <row r="11" spans="1:20" ht="14.25" customHeight="1" x14ac:dyDescent="0.2">
      <c r="A11" s="22" t="str">
        <f t="shared" ca="1" si="0"/>
        <v/>
      </c>
      <c r="B11" s="23" t="str">
        <f>Q9</f>
        <v>Ucrania</v>
      </c>
      <c r="C11" s="24"/>
      <c r="D11" s="25" t="s">
        <v>27</v>
      </c>
      <c r="E11" s="24"/>
      <c r="F11" s="26" t="str">
        <f>Q11</f>
        <v>Tunez</v>
      </c>
      <c r="G11" s="27" t="s">
        <v>77</v>
      </c>
      <c r="H11" s="192">
        <v>38891</v>
      </c>
      <c r="I11" s="192"/>
      <c r="J11" s="193">
        <v>0.66666666666666663</v>
      </c>
      <c r="K11" s="193"/>
      <c r="L11" s="194" t="str">
        <f t="shared" ca="1" si="1"/>
        <v/>
      </c>
      <c r="M11" s="194"/>
      <c r="P11" s="30"/>
      <c r="Q11" s="195" t="s">
        <v>90</v>
      </c>
      <c r="R11" s="195"/>
      <c r="S11" s="30"/>
    </row>
    <row r="12" spans="1:20" ht="13.5" customHeight="1" x14ac:dyDescent="0.2">
      <c r="B12" s="36"/>
      <c r="C12" s="37"/>
      <c r="D12" s="38"/>
      <c r="E12" s="37"/>
      <c r="F12" s="20"/>
      <c r="G12" s="39"/>
      <c r="H12" s="38"/>
      <c r="I12" s="40"/>
      <c r="J12" s="18"/>
      <c r="K12" s="41"/>
      <c r="L12" s="42"/>
      <c r="M12" s="42"/>
      <c r="P12" s="33"/>
      <c r="Q12" s="34"/>
      <c r="R12" s="35"/>
      <c r="S12" s="33"/>
    </row>
    <row r="13" spans="1:20" ht="13.5" customHeight="1" x14ac:dyDescent="0.2">
      <c r="B13" s="36"/>
      <c r="C13" s="37"/>
      <c r="D13" s="38"/>
      <c r="E13" s="37"/>
      <c r="F13" s="20"/>
      <c r="G13" s="39"/>
      <c r="H13" s="38"/>
      <c r="I13" s="38"/>
      <c r="J13" s="18"/>
      <c r="K13" s="43"/>
      <c r="L13" s="42"/>
      <c r="M13" s="42"/>
      <c r="P13" s="30"/>
      <c r="Q13" s="195" t="s">
        <v>91</v>
      </c>
      <c r="R13" s="195"/>
      <c r="S13" s="30"/>
    </row>
    <row r="14" spans="1:20" ht="13.5" customHeight="1" x14ac:dyDescent="0.2">
      <c r="B14" s="36"/>
      <c r="C14" s="37"/>
      <c r="D14" s="38"/>
      <c r="E14" s="37"/>
      <c r="F14" s="20"/>
      <c r="G14" s="39"/>
      <c r="H14" s="38"/>
      <c r="I14" s="38"/>
      <c r="J14" s="18"/>
      <c r="K14" s="43"/>
      <c r="L14" s="42"/>
      <c r="M14" s="42"/>
      <c r="Q14" s="45"/>
      <c r="R14" s="71"/>
    </row>
    <row r="15" spans="1:20" x14ac:dyDescent="0.2">
      <c r="G15" s="188" t="s">
        <v>38</v>
      </c>
      <c r="H15" s="188"/>
      <c r="I15" s="188"/>
      <c r="J15" s="188"/>
      <c r="K15" s="188"/>
      <c r="L15" s="188"/>
      <c r="M15" s="188"/>
      <c r="N15" s="188"/>
      <c r="O15" s="188"/>
      <c r="R15" s="17"/>
    </row>
    <row r="16" spans="1:20" x14ac:dyDescent="0.2">
      <c r="G16" s="47"/>
      <c r="H16" s="48" t="s">
        <v>39</v>
      </c>
      <c r="I16" s="48" t="s">
        <v>40</v>
      </c>
      <c r="J16" s="48" t="s">
        <v>41</v>
      </c>
      <c r="K16" s="48" t="s">
        <v>42</v>
      </c>
      <c r="L16" s="48" t="s">
        <v>43</v>
      </c>
      <c r="M16" s="48" t="s">
        <v>44</v>
      </c>
      <c r="N16" s="48" t="s">
        <v>45</v>
      </c>
      <c r="O16" s="48" t="s">
        <v>46</v>
      </c>
      <c r="R16" s="17"/>
    </row>
    <row r="17" spans="1:20" x14ac:dyDescent="0.2">
      <c r="F17" s="49" t="s">
        <v>58</v>
      </c>
      <c r="G17" s="50" t="str">
        <f>calculoH!F52</f>
        <v>España</v>
      </c>
      <c r="H17" s="26">
        <f>calculoH!G52</f>
        <v>0</v>
      </c>
      <c r="I17" s="26">
        <f>calculoH!H52</f>
        <v>0</v>
      </c>
      <c r="J17" s="26">
        <f>calculoH!I52</f>
        <v>0</v>
      </c>
      <c r="K17" s="26">
        <f>calculoH!J52</f>
        <v>0</v>
      </c>
      <c r="L17" s="26">
        <f>calculoH!K52</f>
        <v>0</v>
      </c>
      <c r="M17" s="26">
        <f>calculoH!L52</f>
        <v>0</v>
      </c>
      <c r="N17" s="26">
        <f>L17-M17</f>
        <v>0</v>
      </c>
      <c r="O17" s="26">
        <f>calculoH!M52</f>
        <v>0</v>
      </c>
      <c r="P17" s="51"/>
      <c r="Q17" s="52"/>
      <c r="R17" s="53"/>
      <c r="S17" s="52"/>
    </row>
    <row r="18" spans="1:20" x14ac:dyDescent="0.2">
      <c r="F18" s="49" t="s">
        <v>58</v>
      </c>
      <c r="G18" s="50" t="str">
        <f>calculoH!F53</f>
        <v>Ucrania</v>
      </c>
      <c r="H18" s="26">
        <f>calculoH!G53</f>
        <v>0</v>
      </c>
      <c r="I18" s="26">
        <f>calculoH!H53</f>
        <v>0</v>
      </c>
      <c r="J18" s="26">
        <f>calculoH!I53</f>
        <v>0</v>
      </c>
      <c r="K18" s="26">
        <f>calculoH!J53</f>
        <v>0</v>
      </c>
      <c r="L18" s="26">
        <f>calculoH!K53</f>
        <v>0</v>
      </c>
      <c r="M18" s="26">
        <f>calculoH!L53</f>
        <v>0</v>
      </c>
      <c r="N18" s="26">
        <f>L18-M18</f>
        <v>0</v>
      </c>
      <c r="O18" s="26">
        <f>calculoH!M53</f>
        <v>0</v>
      </c>
      <c r="P18" s="51"/>
      <c r="Q18" s="52"/>
      <c r="R18" s="53"/>
      <c r="S18" s="52"/>
    </row>
    <row r="19" spans="1:20" x14ac:dyDescent="0.2">
      <c r="F19" s="52"/>
      <c r="G19" s="50" t="str">
        <f>calculoH!F54</f>
        <v>Tunez</v>
      </c>
      <c r="H19" s="26">
        <f>calculoH!G54</f>
        <v>0</v>
      </c>
      <c r="I19" s="26">
        <f>calculoH!H54</f>
        <v>0</v>
      </c>
      <c r="J19" s="26">
        <f>calculoH!I54</f>
        <v>0</v>
      </c>
      <c r="K19" s="26">
        <f>calculoH!J54</f>
        <v>0</v>
      </c>
      <c r="L19" s="26">
        <f>calculoH!K54</f>
        <v>0</v>
      </c>
      <c r="M19" s="26">
        <f>calculoH!L54</f>
        <v>0</v>
      </c>
      <c r="N19" s="26">
        <f>L19-M19</f>
        <v>0</v>
      </c>
      <c r="O19" s="26">
        <f>calculoH!M54</f>
        <v>0</v>
      </c>
      <c r="P19" s="54"/>
      <c r="Q19" s="52"/>
      <c r="R19" s="53"/>
      <c r="S19" s="52"/>
    </row>
    <row r="20" spans="1:20" x14ac:dyDescent="0.2">
      <c r="F20" s="52"/>
      <c r="G20" s="50" t="str">
        <f>calculoH!F55</f>
        <v>Arabia Saudita</v>
      </c>
      <c r="H20" s="26">
        <f>calculoH!G55</f>
        <v>0</v>
      </c>
      <c r="I20" s="26">
        <f>calculoH!H55</f>
        <v>0</v>
      </c>
      <c r="J20" s="26">
        <f>calculoH!I55</f>
        <v>0</v>
      </c>
      <c r="K20" s="26">
        <f>calculoH!J55</f>
        <v>0</v>
      </c>
      <c r="L20" s="26">
        <f>calculoH!K55</f>
        <v>0</v>
      </c>
      <c r="M20" s="26">
        <f>calculoH!L55</f>
        <v>0</v>
      </c>
      <c r="N20" s="26">
        <f>L20-M20</f>
        <v>0</v>
      </c>
      <c r="O20" s="26">
        <f>calculoH!M55</f>
        <v>0</v>
      </c>
      <c r="P20" s="54"/>
      <c r="Q20" s="54"/>
      <c r="R20" s="55"/>
      <c r="S20" s="54"/>
    </row>
    <row r="21" spans="1:20" x14ac:dyDescent="0.2">
      <c r="N21" s="56"/>
      <c r="O21" s="56"/>
      <c r="P21" s="56"/>
      <c r="Q21" s="56"/>
      <c r="R21" s="57"/>
      <c r="S21" s="56"/>
    </row>
    <row r="22" spans="1:20" ht="11.25" customHeight="1" x14ac:dyDescent="0.2">
      <c r="N22" s="56"/>
      <c r="O22" s="56"/>
      <c r="P22" s="56"/>
      <c r="Q22" s="56"/>
      <c r="R22" s="57"/>
      <c r="S22" s="56"/>
    </row>
    <row r="23" spans="1:20" ht="9" customHeight="1" x14ac:dyDescent="0.2">
      <c r="N23" s="56"/>
      <c r="O23" s="56"/>
      <c r="P23" s="56"/>
      <c r="R23" s="58"/>
      <c r="S23" s="56"/>
    </row>
    <row r="24" spans="1:20" ht="13.5" x14ac:dyDescent="0.25">
      <c r="B24" s="59"/>
      <c r="C24" s="60"/>
      <c r="N24" s="61"/>
      <c r="O24" s="61"/>
      <c r="P24" s="62" t="s">
        <v>48</v>
      </c>
      <c r="Q24" s="63">
        <f ca="1">TODAY()</f>
        <v>42230</v>
      </c>
      <c r="R24" s="64">
        <f ca="1">NOW()</f>
        <v>42230.789250000002</v>
      </c>
      <c r="S24" s="65"/>
    </row>
    <row r="25" spans="1:20" hidden="1" x14ac:dyDescent="0.2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7"/>
      <c r="O25" s="67"/>
      <c r="P25" s="67"/>
      <c r="Q25" s="68">
        <f ca="1">HOUR(R24)</f>
        <v>18</v>
      </c>
      <c r="R25" s="68">
        <f ca="1">MINUTE(R24)</f>
        <v>56</v>
      </c>
      <c r="S25" s="69"/>
      <c r="T25" s="66"/>
    </row>
    <row r="26" spans="1:20" hidden="1" x14ac:dyDescent="0.2"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7"/>
      <c r="O26" s="67"/>
      <c r="P26" s="66"/>
      <c r="Q26" s="68"/>
      <c r="R26" s="70">
        <f ca="1">TIME(Q25,R25,0)</f>
        <v>0.78888888888888886</v>
      </c>
      <c r="S26" s="69"/>
      <c r="T26" s="66"/>
    </row>
    <row r="27" spans="1:20" x14ac:dyDescent="0.2">
      <c r="N27" s="56"/>
      <c r="O27" s="56"/>
      <c r="P27" s="56"/>
      <c r="Q27" s="65"/>
      <c r="R27" s="65"/>
      <c r="S27" s="65"/>
    </row>
    <row r="28" spans="1:20" x14ac:dyDescent="0.2">
      <c r="N28" s="56"/>
      <c r="O28" s="56"/>
      <c r="P28" s="56"/>
      <c r="Q28" s="196" t="s">
        <v>18</v>
      </c>
      <c r="R28" s="196" t="s">
        <v>19</v>
      </c>
      <c r="S28" s="65"/>
    </row>
    <row r="29" spans="1:20" x14ac:dyDescent="0.2">
      <c r="N29" s="56"/>
      <c r="O29" s="56"/>
      <c r="P29" s="56"/>
      <c r="Q29" s="65"/>
      <c r="R29" s="65"/>
      <c r="S29" s="65"/>
    </row>
  </sheetData>
  <sheetProtection sheet="1" objects="1" scenarios="1"/>
  <mergeCells count="30">
    <mergeCell ref="Q11:R11"/>
    <mergeCell ref="Q13:R13"/>
    <mergeCell ref="G15:O15"/>
    <mergeCell ref="Q28:R28"/>
    <mergeCell ref="H10:I10"/>
    <mergeCell ref="J10:K10"/>
    <mergeCell ref="L10:M10"/>
    <mergeCell ref="H11:I11"/>
    <mergeCell ref="J11:K11"/>
    <mergeCell ref="L11:M11"/>
    <mergeCell ref="Q7:R7"/>
    <mergeCell ref="H8:I8"/>
    <mergeCell ref="J8:K8"/>
    <mergeCell ref="L8:M8"/>
    <mergeCell ref="H9:I9"/>
    <mergeCell ref="J9:K9"/>
    <mergeCell ref="L9:M9"/>
    <mergeCell ref="Q9:R9"/>
    <mergeCell ref="H6:I6"/>
    <mergeCell ref="J6:K6"/>
    <mergeCell ref="L6:M6"/>
    <mergeCell ref="H7:I7"/>
    <mergeCell ref="J7:K7"/>
    <mergeCell ref="L7:M7"/>
    <mergeCell ref="A1:S2"/>
    <mergeCell ref="B4:M4"/>
    <mergeCell ref="P4:S5"/>
    <mergeCell ref="H5:I5"/>
    <mergeCell ref="J5:K5"/>
    <mergeCell ref="L5:M5"/>
  </mergeCells>
  <conditionalFormatting sqref="B6:G6 H6:I7 J6:M6">
    <cfRule type="expression" dxfId="40" priority="1" stopIfTrue="1">
      <formula>IF(OR($L$6="en juego",$L$6="hoy!"),1,0)</formula>
    </cfRule>
  </conditionalFormatting>
  <conditionalFormatting sqref="B7:G7 J7:M7">
    <cfRule type="expression" dxfId="39" priority="2" stopIfTrue="1">
      <formula>IF(OR($L$7="en juego",$L$7="hoy!"),1,0)</formula>
    </cfRule>
  </conditionalFormatting>
  <conditionalFormatting sqref="B8:G8 H8:I9 J8:M8">
    <cfRule type="expression" dxfId="38" priority="3" stopIfTrue="1">
      <formula>IF(OR($L$8="en juego",$L$8="hoy!"),1,0)</formula>
    </cfRule>
  </conditionalFormatting>
  <conditionalFormatting sqref="B9:G9 J9:K11 L9:M9">
    <cfRule type="expression" dxfId="37" priority="4" stopIfTrue="1">
      <formula>IF(OR($L$9="en juego",$L$9="hoy!"),1,0)</formula>
    </cfRule>
  </conditionalFormatting>
  <conditionalFormatting sqref="B10:G10 H10:I11 L10:M10">
    <cfRule type="expression" dxfId="36" priority="5" stopIfTrue="1">
      <formula>IF(OR($L$10="en juego",$L$10="hoy!"),1,0)</formula>
    </cfRule>
  </conditionalFormatting>
  <conditionalFormatting sqref="B11:G11 L11:M11">
    <cfRule type="expression" dxfId="35" priority="6" stopIfTrue="1">
      <formula>IF(OR($L$11="en juego",$L$11="hoy!"),1,0)</formula>
    </cfRule>
  </conditionalFormatting>
  <conditionalFormatting sqref="F17:F18">
    <cfRule type="expression" dxfId="34" priority="7" stopIfTrue="1">
      <formula>IF(AND($H$17=3,$H$18=3,$H$19=3,$H$20=3),1,0)</formula>
    </cfRule>
  </conditionalFormatting>
  <conditionalFormatting sqref="G17:O18">
    <cfRule type="expression" dxfId="33" priority="8" stopIfTrue="1">
      <formula>IF(AND($H$17=3,$H$18=3,$H$19=3,$H$20=3),1,0)</formula>
    </cfRule>
  </conditionalFormatting>
  <dataValidations count="1">
    <dataValidation type="whole" allowBlank="1" showErrorMessage="1" errorTitle="Dato no válido" error="Ingrese sólo un número entero_x000a_entre 0 y 99." sqref="C6:C11 E6:E11">
      <formula1>0</formula1>
      <formula2>99</formula2>
    </dataValidation>
  </dataValidations>
  <hyperlinks>
    <hyperlink ref="Q28" location="Portada!A1" display="Menu Principal"/>
    <hyperlink ref="R28" location="Portada!A1" display="#Portada.A1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22</vt:i4>
      </vt:variant>
    </vt:vector>
  </HeadingPairs>
  <TitlesOfParts>
    <vt:vector size="22" baseType="lpstr">
      <vt:lpstr>Portada</vt:lpstr>
      <vt:lpstr>Grupo A</vt:lpstr>
      <vt:lpstr>Grupo B</vt:lpstr>
      <vt:lpstr>Grupo C</vt:lpstr>
      <vt:lpstr>Grupo D</vt:lpstr>
      <vt:lpstr>Grupo E</vt:lpstr>
      <vt:lpstr>Grupo F</vt:lpstr>
      <vt:lpstr>Grupo G</vt:lpstr>
      <vt:lpstr>Grupo H</vt:lpstr>
      <vt:lpstr>Octavos de Final</vt:lpstr>
      <vt:lpstr>Cuartos de Final</vt:lpstr>
      <vt:lpstr>Semifinal</vt:lpstr>
      <vt:lpstr>3er puesto y FINAL</vt:lpstr>
      <vt:lpstr>Fixture</vt:lpstr>
      <vt:lpstr>calculoH</vt:lpstr>
      <vt:lpstr>calculoG</vt:lpstr>
      <vt:lpstr>calculoF</vt:lpstr>
      <vt:lpstr>calculoE</vt:lpstr>
      <vt:lpstr>calculoD</vt:lpstr>
      <vt:lpstr>calculoC</vt:lpstr>
      <vt:lpstr>calculoA</vt:lpstr>
      <vt:lpstr>calculoB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Seguí paso a paso la Copa del Mundo 2002</dc:title>
  <dc:subject>World Cup Korea-Japan 2002</dc:subject>
  <dc:creator>Pablo Camino</dc:creator>
  <dc:description>pablocam@adinet.com.uy</dc:description>
  <cp:lastModifiedBy>ifanlo</cp:lastModifiedBy>
  <cp:revision>5</cp:revision>
  <cp:lastPrinted>2005-12-13T14:05:33Z</cp:lastPrinted>
  <dcterms:created xsi:type="dcterms:W3CDTF">2001-10-15T19:26:14Z</dcterms:created>
  <dcterms:modified xsi:type="dcterms:W3CDTF">2015-08-14T16:57:38Z</dcterms:modified>
</cp:coreProperties>
</file>